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12036" windowHeight="10896" activeTab="0"/>
  </bookViews>
  <sheets>
    <sheet name="Лист2" sheetId="1" r:id="rId1"/>
  </sheets>
  <definedNames>
    <definedName name="_xlnm.Print_Titles" localSheetId="0">'Лист2'!$9:$13</definedName>
    <definedName name="_xlnm.Print_Area" localSheetId="0">'Лист2'!$C$1:$R$512</definedName>
  </definedNames>
  <calcPr fullCalcOnLoad="1"/>
</workbook>
</file>

<file path=xl/sharedStrings.xml><?xml version="1.0" encoding="utf-8"?>
<sst xmlns="http://schemas.openxmlformats.org/spreadsheetml/2006/main" count="1066" uniqueCount="718">
  <si>
    <t>0217370</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</si>
  <si>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</si>
  <si>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</si>
  <si>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</si>
  <si>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</si>
  <si>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на розробку проектно-кошторисної документації та експертиза об'єкту "Капітальний ремонт в харчоблоках блоків А, Б дошкільного навчального закладу №8 "Казка" в м. Южноукраїнськ Миколаївської області" (співфінансування (10%) з обласним бюджетом)</t>
  </si>
  <si>
    <t xml:space="preserve"> - кошти міського бюджету на співфінансування з обласним бюджетом мікропроекту "Школа майбутнього"(10%)</t>
  </si>
  <si>
    <t xml:space="preserve"> - міська соціальна програма Підтримки учасиків АТО та членів їх сімей на 2016-2020 року- "Воїни та ветерани антитерористичної операції" </t>
  </si>
  <si>
    <t>Забезпечення діяльності палаців i будинків культури, клубів, центрів дозвілля та iнших клубних закладів</t>
  </si>
  <si>
    <t xml:space="preserve"> - кошти міського бюджету на співфінансування мікропроекту "Сучасна комп'ютерна техніка в кабінеті інформатики - основа комфорту у навчанні"</t>
  </si>
  <si>
    <t xml:space="preserve"> - кошти міського бюджету на  співфінансування реалізації мікропроекту  «Вуличний дитячий майданчик – крок до здійснення мрій з особливими потребами»</t>
  </si>
  <si>
    <t>0816082</t>
  </si>
  <si>
    <t>6082</t>
  </si>
  <si>
    <t>1217462</t>
  </si>
  <si>
    <t>7462</t>
  </si>
  <si>
    <t xml:space="preserve">  - надання допомоги хворим з хранично - нирковою недостатністю</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</si>
  <si>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</si>
  <si>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</si>
  <si>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</si>
  <si>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РОЗПОДІЛ</t>
  </si>
  <si>
    <t xml:space="preserve"> видатків бюджету міста Южноукраїнська на 2020 рік</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</si>
  <si>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</si>
  <si>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</si>
  <si>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</si>
  <si>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</si>
  <si>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</si>
  <si>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</si>
  <si>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14205100000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</si>
  <si>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</si>
  <si>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</si>
  <si>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</si>
  <si>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</si>
  <si>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</si>
  <si>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</si>
  <si>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</si>
  <si>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</si>
  <si>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</si>
  <si>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</si>
  <si>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</si>
  <si>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</si>
  <si>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</si>
  <si>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</si>
  <si>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</si>
  <si>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</si>
  <si>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</si>
  <si>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</si>
  <si>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</si>
  <si>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</si>
  <si>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</si>
  <si>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</si>
  <si>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</si>
  <si>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</si>
  <si>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</si>
  <si>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</si>
  <si>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</si>
  <si>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</si>
  <si>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</si>
  <si>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</si>
  <si>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</si>
  <si>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</si>
  <si>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3718000</t>
  </si>
  <si>
    <t>3719000</t>
  </si>
  <si>
    <t>3717000</t>
  </si>
  <si>
    <t>Економічна діяльність</t>
  </si>
  <si>
    <t>1017000</t>
  </si>
  <si>
    <t>0819000</t>
  </si>
  <si>
    <t>0817000</t>
  </si>
  <si>
    <t>0816000</t>
  </si>
  <si>
    <t>0619000</t>
  </si>
  <si>
    <t>0218000</t>
  </si>
  <si>
    <t>0812000</t>
  </si>
  <si>
    <t>2000</t>
  </si>
  <si>
    <t>0813000</t>
  </si>
  <si>
    <t>1013000</t>
  </si>
  <si>
    <t>1011000</t>
  </si>
  <si>
    <t>1014000</t>
  </si>
  <si>
    <t>4000</t>
  </si>
  <si>
    <t>1015000</t>
  </si>
  <si>
    <t>5000</t>
  </si>
  <si>
    <t>1211000</t>
  </si>
  <si>
    <t>1212000</t>
  </si>
  <si>
    <t>1216000</t>
  </si>
  <si>
    <t xml:space="preserve"> - міська програма "Наше місто"на 2020-2024 роки</t>
  </si>
  <si>
    <t xml:space="preserve"> - міська програма щодо організації мобілізаційної роботи та територіальної оборони в м.Южноукраїнську на 2018-2021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</si>
  <si>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</si>
  <si>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</si>
  <si>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 xml:space="preserve"> - міська програма розвитку малого та середнього підприємництва на 2019-2020 роки</t>
  </si>
  <si>
    <t xml:space="preserve"> - міська програма управління  майном комунальної форми власності  міста Южноукраїнська на 2020-2024 роки </t>
  </si>
  <si>
    <t>Надання позашкільної освіти закладами позашкільної освіти, заходи із позашкільної роботи з дітьми</t>
  </si>
  <si>
    <t>Надання загальної середньої освіти закладами загальної середньої освіти (у тому числі з дошкільними підрозділами (відділеннями, групами))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</si>
  <si>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</si>
  <si>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</si>
  <si>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</si>
  <si>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</si>
  <si>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Резервний фонд</t>
  </si>
  <si>
    <t>видатки споживання</t>
  </si>
  <si>
    <t>видатки розвитку</t>
  </si>
  <si>
    <t>В тому числі видатки за рахунок субвенцій з державного бюджету</t>
  </si>
  <si>
    <t xml:space="preserve">  </t>
  </si>
  <si>
    <t xml:space="preserve"> - міська програма розвитку футболу в м.Южноукраїнську на 2013-2016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</si>
  <si>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</si>
  <si>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</si>
  <si>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</si>
  <si>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</si>
  <si>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</si>
  <si>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</si>
  <si>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оплата праці</t>
  </si>
  <si>
    <t>комунальні послуги та енергоносії</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</si>
  <si>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</si>
  <si>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</si>
  <si>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</si>
  <si>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</si>
  <si>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</si>
  <si>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</si>
  <si>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</si>
  <si>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</si>
  <si>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</si>
  <si>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</si>
  <si>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</si>
  <si>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</si>
  <si>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</si>
  <si>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</si>
  <si>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</si>
  <si>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</si>
  <si>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</si>
  <si>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</si>
  <si>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</si>
  <si>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</si>
  <si>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</si>
  <si>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</si>
  <si>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</si>
  <si>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</si>
  <si>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</si>
  <si>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</si>
  <si>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</si>
  <si>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</si>
  <si>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</si>
  <si>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</si>
  <si>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</si>
  <si>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</si>
  <si>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</si>
  <si>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</si>
  <si>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</si>
  <si>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</si>
  <si>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</si>
  <si>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</si>
  <si>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</si>
  <si>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</si>
  <si>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</si>
  <si>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</si>
  <si>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</si>
  <si>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</si>
  <si>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</si>
  <si>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</si>
  <si>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</si>
  <si>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</si>
  <si>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</si>
  <si>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</si>
  <si>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</si>
  <si>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</si>
  <si>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</si>
  <si>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</si>
  <si>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</si>
  <si>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</si>
  <si>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</si>
  <si>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</si>
  <si>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</si>
  <si>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</si>
  <si>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</si>
  <si>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</si>
  <si>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</si>
  <si>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</si>
  <si>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</si>
  <si>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</si>
  <si>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</si>
  <si>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</si>
  <si>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</si>
  <si>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</si>
  <si>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3011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</si>
  <si>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</si>
  <si>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</si>
  <si>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</si>
  <si>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</si>
  <si>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</si>
  <si>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</si>
  <si>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</si>
  <si>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</si>
  <si>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</si>
  <si>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</si>
  <si>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</si>
  <si>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</si>
  <si>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</si>
  <si>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</si>
  <si>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</si>
  <si>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</si>
  <si>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</si>
  <si>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</si>
  <si>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</si>
  <si>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</si>
  <si>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</si>
  <si>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</si>
  <si>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</si>
  <si>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</si>
  <si>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</si>
  <si>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</si>
  <si>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</si>
  <si>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</si>
  <si>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</si>
  <si>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</si>
  <si>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</si>
  <si>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</si>
  <si>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</si>
  <si>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</si>
  <si>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</si>
  <si>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</si>
  <si>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</si>
  <si>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</si>
  <si>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</si>
  <si>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</si>
  <si>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</si>
  <si>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</si>
  <si>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</si>
  <si>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</si>
  <si>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</si>
  <si>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</si>
  <si>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</si>
  <si>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</si>
  <si>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</si>
  <si>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</si>
  <si>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</si>
  <si>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</si>
  <si>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</si>
  <si>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</si>
  <si>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</si>
  <si>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</si>
  <si>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</si>
  <si>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</si>
  <si>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</si>
  <si>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</si>
  <si>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</si>
  <si>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</si>
  <si>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</si>
  <si>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</si>
  <si>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</si>
  <si>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</si>
  <si>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</si>
  <si>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</si>
  <si>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</si>
  <si>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</si>
  <si>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</si>
  <si>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0813041</t>
  </si>
  <si>
    <t>0813042</t>
  </si>
  <si>
    <t>0813043</t>
  </si>
  <si>
    <t>0813044</t>
  </si>
  <si>
    <t>0813045</t>
  </si>
  <si>
    <t>0813046</t>
  </si>
  <si>
    <t>0813047</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</si>
  <si>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</si>
  <si>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</si>
  <si>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</si>
  <si>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</si>
  <si>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</si>
  <si>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</si>
  <si>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</si>
  <si>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</si>
  <si>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</si>
  <si>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</si>
  <si>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</si>
  <si>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</si>
  <si>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</si>
  <si>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</si>
  <si>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</si>
  <si>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</si>
  <si>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</si>
  <si>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</si>
  <si>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</si>
  <si>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</si>
  <si>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</si>
  <si>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</si>
  <si>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</si>
  <si>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</si>
  <si>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</si>
  <si>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</si>
  <si>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</si>
  <si>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</si>
  <si>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</si>
  <si>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</si>
  <si>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</si>
  <si>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</si>
  <si>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</si>
  <si>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</si>
  <si>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</si>
  <si>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</si>
  <si>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</si>
  <si>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</si>
  <si>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</si>
  <si>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</si>
  <si>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</si>
  <si>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</si>
  <si>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</si>
  <si>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</si>
  <si>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</si>
  <si>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</si>
  <si>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</si>
  <si>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</si>
  <si>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</si>
  <si>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</si>
  <si>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</si>
  <si>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</si>
  <si>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</si>
  <si>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</si>
  <si>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</si>
  <si>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</si>
  <si>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</si>
  <si>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</si>
  <si>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</si>
  <si>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</si>
  <si>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</si>
  <si>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</si>
  <si>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</si>
  <si>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</si>
  <si>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</si>
  <si>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</si>
  <si>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</si>
  <si>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</si>
  <si>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</si>
  <si>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</si>
  <si>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</si>
  <si>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</si>
  <si>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</si>
  <si>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</si>
  <si>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</si>
  <si>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</si>
  <si>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</si>
  <si>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</si>
  <si>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</si>
  <si>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</si>
  <si>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</si>
  <si>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</si>
  <si>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</si>
  <si>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</si>
  <si>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</si>
  <si>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</si>
  <si>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</si>
  <si>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</si>
  <si>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</si>
  <si>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</si>
  <si>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</si>
  <si>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3230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</si>
  <si>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</si>
  <si>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</si>
  <si>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</si>
  <si>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</si>
  <si>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</si>
  <si>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</si>
  <si>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</si>
  <si>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</si>
  <si>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</si>
  <si>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</si>
  <si>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</si>
  <si>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</si>
  <si>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</si>
  <si>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Інші програми та заходи у сфері охорони здоров’я</t>
  </si>
  <si>
    <t>0813081</t>
  </si>
  <si>
    <t>3081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</si>
  <si>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</si>
  <si>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</si>
  <si>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</si>
  <si>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</si>
  <si>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</si>
  <si>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</si>
  <si>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</si>
  <si>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</si>
  <si>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</si>
  <si>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</si>
  <si>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</si>
  <si>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</si>
  <si>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</si>
  <si>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</si>
  <si>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</si>
  <si>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</si>
  <si>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</si>
  <si>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</si>
  <si>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</si>
  <si>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</si>
  <si>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</si>
  <si>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</si>
  <si>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</si>
  <si>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3716090</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</si>
  <si>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</si>
  <si>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</si>
  <si>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</si>
  <si>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</si>
  <si>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</si>
  <si>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</si>
  <si>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</si>
  <si>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</si>
  <si>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</si>
  <si>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</si>
  <si>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</si>
  <si>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</si>
  <si>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</si>
  <si>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3083</t>
  </si>
  <si>
    <t>0813083</t>
  </si>
  <si>
    <t>0813085</t>
  </si>
  <si>
    <t>3085</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</si>
  <si>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</si>
  <si>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</si>
  <si>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</si>
  <si>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</si>
  <si>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</si>
  <si>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</si>
  <si>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</si>
  <si>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</si>
  <si>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</si>
  <si>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</si>
  <si>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</si>
  <si>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</si>
  <si>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</si>
  <si>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</si>
  <si>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</si>
  <si>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</si>
  <si>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</si>
  <si>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</si>
  <si>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</si>
  <si>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</si>
  <si>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</si>
  <si>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</si>
  <si>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</si>
  <si>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</si>
  <si>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</si>
  <si>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</si>
  <si>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</si>
  <si>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</si>
  <si>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</si>
  <si>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</si>
  <si>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</si>
  <si>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</si>
  <si>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</si>
  <si>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</si>
  <si>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</si>
  <si>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</si>
  <si>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</si>
  <si>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</si>
  <si>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</si>
  <si>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</si>
  <si>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</si>
  <si>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</si>
  <si>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</si>
  <si>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</si>
  <si>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</si>
  <si>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</si>
  <si>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</si>
  <si>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</si>
  <si>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</si>
  <si>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</si>
  <si>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</si>
  <si>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</si>
  <si>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</si>
  <si>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</si>
  <si>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</si>
  <si>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</si>
  <si>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</si>
  <si>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</si>
  <si>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</si>
  <si>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</si>
  <si>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</si>
  <si>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</si>
  <si>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</si>
  <si>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</si>
  <si>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</si>
  <si>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</si>
  <si>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</si>
  <si>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</si>
  <si>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</si>
  <si>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</si>
  <si>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</si>
  <si>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</si>
  <si>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</si>
  <si>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</si>
  <si>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</si>
  <si>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</si>
  <si>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</si>
  <si>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</si>
  <si>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</si>
  <si>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</si>
  <si>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0813084</t>
  </si>
  <si>
    <t>3084</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</si>
  <si>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</si>
  <si>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</si>
  <si>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</si>
  <si>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</si>
  <si>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</si>
  <si>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 xml:space="preserve"> - міська програма  "Фонд міської ради на виконання депутатських повноважень" на 2018-2020 рік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</si>
  <si>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</si>
  <si>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</si>
  <si>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</si>
  <si>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</si>
  <si>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</si>
  <si>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</si>
  <si>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Будівництво медичних установ та закладів</t>
  </si>
  <si>
    <t>Нерозподілені трансферти з державного бюджету</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</si>
  <si>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</si>
  <si>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</si>
  <si>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</si>
  <si>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</si>
  <si>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</si>
  <si>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</si>
  <si>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 xml:space="preserve"> - міська програма «Охорона здоров`я в місті Южноукраїнську» на 2017-2022 роки в частині надання паліативної та хоспісної допомоги</t>
  </si>
  <si>
    <t>3718220</t>
  </si>
  <si>
    <t xml:space="preserve"> -  міська програма щодо організації мобілізаційної роботи в м.Южноукраїнську на 2018-2021 роки</t>
  </si>
  <si>
    <t>Загальний фонд</t>
  </si>
  <si>
    <t>Спеціальний фонд</t>
  </si>
  <si>
    <t>Усього</t>
  </si>
  <si>
    <t>з них</t>
  </si>
  <si>
    <t>у тому числі бюджет розвитку</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</si>
  <si>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</si>
  <si>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</si>
  <si>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</si>
  <si>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</si>
  <si>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</si>
  <si>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</si>
  <si>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 - міська програма «Охорона здоров`я в місті Южноукраїнську» на  2017-2022 рок в частині розвитку первинної медико-санітарної допомоги</t>
  </si>
  <si>
    <t>1017622</t>
  </si>
  <si>
    <t>7622</t>
  </si>
  <si>
    <t>0470</t>
  </si>
  <si>
    <t>Реалізація програм і заходів туризму та курортів</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</si>
  <si>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</si>
  <si>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0913111</t>
  </si>
  <si>
    <t>3111</t>
  </si>
  <si>
    <t xml:space="preserve"> - субвенція з місцевого бюджету за рахунок залишку коштів освітньої субвенції, що утворився на початок бюджетного періоду</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</si>
  <si>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2019 рік (відповідно до п.6 цього рішення) </t>
  </si>
  <si>
    <t xml:space="preserve">В тому числі видатки за рахунок субвенцій з державного бюджету,    із них                                                                                            </t>
  </si>
  <si>
    <t>Додаток №3</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</si>
  <si>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</si>
  <si>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</si>
  <si>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</si>
  <si>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</si>
  <si>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</si>
  <si>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Охорона здоров’я</t>
  </si>
  <si>
    <t>1212010</t>
  </si>
  <si>
    <t>Багатопрофільна стаціонарна медична допомога населенню</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</si>
  <si>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</si>
  <si>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</si>
  <si>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</si>
  <si>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освіти в м.Южноукраїнську на 2016-2020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</si>
  <si>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</si>
  <si>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</si>
  <si>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</si>
  <si>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</si>
  <si>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</si>
  <si>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</si>
  <si>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</si>
  <si>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</si>
  <si>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</si>
  <si>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</si>
  <si>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</si>
  <si>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</si>
  <si>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дошкільних навчальних закладів</t>
  </si>
  <si>
    <t xml:space="preserve"> -  утримання загальноосвітніх навчальних закладів</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</si>
  <si>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</si>
  <si>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</si>
  <si>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Южноукраїнського інклюзивно-ресурсного центру</t>
  </si>
  <si>
    <t>0813049</t>
  </si>
  <si>
    <t>3049</t>
  </si>
  <si>
    <t>0813086</t>
  </si>
  <si>
    <t>3086</t>
  </si>
  <si>
    <t xml:space="preserve"> - міська соціальна програма Підтримки учасиків АТО та членів їх сімей на 2016-2020 року</t>
  </si>
  <si>
    <t xml:space="preserve"> - утримання комунального закладу "Южноукраїнська дитячо – юнацька спортивна школа" </t>
  </si>
  <si>
    <t>37101010</t>
  </si>
  <si>
    <t xml:space="preserve"> - резерв коштів на ремонтні роботи в дошкільних навчальних закладах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</si>
  <si>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37101020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</si>
  <si>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</si>
  <si>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резерв коштів на ремонтні роботи в загальноосвітніх школах та гімназії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</si>
  <si>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0813087</t>
  </si>
  <si>
    <t>3087</t>
  </si>
  <si>
    <t>2817691</t>
  </si>
  <si>
    <t xml:space="preserve">  - міська програма розвитку земельних відносин на 2017-2021 роки</t>
  </si>
  <si>
    <t>3712111</t>
  </si>
  <si>
    <t xml:space="preserve"> - резерв коштів  на фінансування напрямів та заходів в галузі охорона здоров'я, що  будуть визначені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t>
  </si>
  <si>
    <t xml:space="preserve"> - міська програма Питна вода  міста  Южноукраїнська на 2019-2021 роки </t>
  </si>
  <si>
    <t xml:space="preserve"> - кошти міського бюджету на співфінансування з обласним бюджетом на придбання дидактичних матеріалів для початкових класів  на забезпечення якісної, сучасної та доступної загальної середньої освіти «Нова українська школа»</t>
  </si>
  <si>
    <t>Забезпечення дільності інклюзивно-ресурсних центрів</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</si>
  <si>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</si>
  <si>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</si>
  <si>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 xml:space="preserve">  -  міська програма «Охорона здоров`я в місті Южноукраїнську» на  2017-2022 роки (утримання комунального неприбуткового підприємства "Южноукраїнська міська багатопрофільна лікарня")</t>
  </si>
  <si>
    <t xml:space="preserve"> - міська програма «Охорона здоров`я в місті Южноукраїнську» на  2017-2022 роки </t>
  </si>
  <si>
    <t>Централізовані заходи з лікування онкологічних хворих (Міська програма «Охорона здоров`я в місті Южноукраїнську» на 2017-2022 роки)</t>
  </si>
  <si>
    <t>Начальник фінансового управління Южноукраїнської міської ради</t>
  </si>
  <si>
    <t>Т.О.Гончарова</t>
  </si>
  <si>
    <t>0819800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</si>
  <si>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обласному бюджету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</si>
  <si>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</si>
  <si>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0818110</t>
  </si>
  <si>
    <t>0818000</t>
  </si>
  <si>
    <t xml:space="preserve"> - утримання виконавчого комітету</t>
  </si>
  <si>
    <t xml:space="preserve"> - утримання управління освіти Южноукраїнської міської ради</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</si>
  <si>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</si>
  <si>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</si>
  <si>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</si>
  <si>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</si>
  <si>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</si>
  <si>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</si>
  <si>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</si>
  <si>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</si>
  <si>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</si>
  <si>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</si>
  <si>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</si>
  <si>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</si>
  <si>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</si>
  <si>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</si>
  <si>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</si>
  <si>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</si>
  <si>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</si>
  <si>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</si>
  <si>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 xml:space="preserve"> - кошти загальною сумою на боротьбу з COVID-19 та інші екстрені проблемні напрями  для подальшого розподілу за спільним рішенням постійних комісій міської ради з питань соціально-економічного і культурного розвитку, планування та обліку, підприємництва, бюджету, фінансів і цін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</si>
  <si>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</si>
  <si>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</si>
  <si>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</si>
  <si>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</si>
  <si>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Методичне забезпечення діяльності закладів освіти</t>
  </si>
  <si>
    <t xml:space="preserve"> - міська програма «Охорона здоров`я в місті Южноукраїнську» на  2017-2022 рік в частині оплати енергоносіїв некомерційного комунального підприємства «Южноукраїнський міський центр первинної медико-санітарної допомоги" </t>
  </si>
  <si>
    <t xml:space="preserve"> - міська програма «Охорона здоров`я в місті Южноукраїнську» на 2017-2022 роки в частині відшкодування вартості медтчних препаратів хворим, які перенсли трансплантацію органів та тканин, пацієнтам з хворобою Паркінсона, дітям хворим на епілепсію</t>
  </si>
  <si>
    <t>1016030</t>
  </si>
  <si>
    <t xml:space="preserve">- міська програма  "Фонд міської ради на виконання депутатських повноважень" на 2018-2020 роки </t>
  </si>
  <si>
    <t>1016000</t>
  </si>
  <si>
    <t xml:space="preserve">  - міська програма підтримки органу самоорганізації населення кварталу №7 м.Южноукраїнська - «Управа МПЗ» на 2019-2020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</si>
  <si>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</si>
  <si>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t>- міська програма підтримки органу самоорганізації населення кварталу №7 м.Южноукраїнська - «Управа МПЗ» на 2019-2020 роки</t>
  </si>
  <si>
    <t>0817322</t>
  </si>
  <si>
    <t>0433</t>
  </si>
  <si>
    <t xml:space="preserve"> - міська комплексна програма "Охорона здоров'я"</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</si>
  <si>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</si>
  <si>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</si>
  <si>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 міська програма  "Фонд міської ради на виконання депутатських повноважень" на 2018-2020 роки</t>
  </si>
  <si>
    <t>2151</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</si>
  <si>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</si>
  <si>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</si>
  <si>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2917360</t>
  </si>
  <si>
    <t>7360</t>
  </si>
  <si>
    <t>Виконання інвестиційних проектів</t>
  </si>
  <si>
    <t>2917364</t>
  </si>
  <si>
    <t>0210191</t>
  </si>
  <si>
    <t>0191</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</si>
  <si>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ПММ,тощо) для 25-тої Державної пожежно-рятувальної частини ГУ ДСНС України в Миколаївській області)</t>
  </si>
  <si>
    <t xml:space="preserve"> - міська програма приватизації майна комунальної власності територіальної громади міста Южноукраїнська на 2019-2021 роки</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</si>
  <si>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</si>
  <si>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Проведення місцевих виборів (субвенція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</si>
  <si>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</si>
  <si>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освітня субвенція з державного бюджету</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</si>
  <si>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</si>
  <si>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</si>
  <si>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міського бюджету на співфінансування з обласним бюджетом на закупівлю для початкових класів на забезпечення якісної, сучасної та доступної загальної середньої освіти «Нова українська школа»</t>
  </si>
  <si>
    <t xml:space="preserve"> - субвенція з обласного бюджету на здійснення переданих видатків у сфері освіти за рахунок  за рахунок залишку коштів освітньої субвенції, що утворився на початок бюджетного періоду</t>
  </si>
  <si>
    <t xml:space="preserve"> -  кошти міського бюджету на співфінансування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</si>
  <si>
    <t xml:space="preserve"> - залишок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</si>
  <si>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</si>
  <si>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обласного бюджету на реалізацію мікропроектів місцевого розвитку на 2019 рік "Модернізація майстерні трудового навчання"</t>
  </si>
  <si>
    <t xml:space="preserve"> - субвенція з обласного бюджету на реалізацію мікропроектів місцевого розвитку на 2019 рік "Створення сучасного освітнього середовища в закладах освіти"</t>
  </si>
  <si>
    <t xml:space="preserve"> -  субвенція з обласного бюджету на реалізацію мікропроектів місцевого розвитку на 2019 рік "Сучасна комп'ютерна техніка в кабінеті інформатики - основа комфорту у навчанні"</t>
  </si>
  <si>
    <t xml:space="preserve"> - субвенція з обласного бюджету на здійснення переданих видатків у сфері освіти за рахунок коштів освітньої субвенції </t>
  </si>
  <si>
    <t xml:space="preserve"> - кошти перехідного залишку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</si>
  <si>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</si>
  <si>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</si>
  <si>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</si>
  <si>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 xml:space="preserve"> - медична субвенція з державного бюджету</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</si>
  <si>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</si>
  <si>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</si>
  <si>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</si>
  <si>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</si>
  <si>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в місті Южноукраїнську»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</si>
  <si>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</si>
  <si>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</si>
  <si>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</si>
  <si>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</si>
  <si>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</si>
  <si>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</si>
  <si>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</si>
  <si>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Надання пільг на оплату житлово-комунальних послуг окремим категоріям громадян відповідно до законодавства (субвенція з обласного бюджету за рахунок коштів державного бюджету) </t>
  </si>
  <si>
    <t xml:space="preserve">Надання субсидій населенню для відшкодування витрат на оплату житлово-комунальних послуг  (субвенція з обласного бюджету за рахунок коштів державного бюджету) </t>
  </si>
  <si>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(субвенція з обласного бюджету за рахунок коштів державного бюджету) </t>
  </si>
  <si>
    <t xml:space="preserve">Надання субсидій населенню для відшкодування витрат на придбання твердого та рідкого пічного побутового палива і скрапленого газу  (субвенція з обласного бюджету за рахунок коштів державного бюджету) </t>
  </si>
  <si>
    <t xml:space="preserve">Надання допомоги у зв'язку з вагітністю і пологами (субвенція з обласного бюджету за рахунок коштів державного бюджету) </t>
  </si>
  <si>
    <t xml:space="preserve">Надання допомоги при усиновленні дитини (субвенція з обласного бюджету за рахунок коштів державного бюджету) </t>
  </si>
  <si>
    <t xml:space="preserve">Надання допомоги при народженні дитини (субвенція з обласного бюджету за рахунок коштів державного бюджету) </t>
  </si>
  <si>
    <t xml:space="preserve">Надання допомоги на дітей, над якими встановлено опіку чи піклування (субвенція з обласного бюджету за рахунок коштів державного бюджету) </t>
  </si>
  <si>
    <t xml:space="preserve">Надання допомоги на дітей одиноким матерям (субвенція з обласного бюджету за рахунок коштів державного бюджету) </t>
  </si>
  <si>
    <t xml:space="preserve">Надання тимчасової державної допомоги дітям (субвенція з обласного бюджету за рахунок коштів державного бюджету) </t>
  </si>
  <si>
    <t xml:space="preserve">Надання державної соціальної допомоги малозабезпеченим сім’ям (субвенція з обласного бюджету за рахунок коштів державного бюджету) </t>
  </si>
  <si>
    <t xml:space="preserve">Відшкодування послуги з догляду за дитиною до трьох років «муніципальна няня» (субвенція з обласного бюджету за рахунок коштів державного бюджету) </t>
  </si>
  <si>
    <t xml:space="preserve">Пільгове медичне обслуговування осіб, які постраждали внаслідок Чорнобильської катастрофи  (субвенція з обласного бюджету) </t>
  </si>
  <si>
    <t xml:space="preserve">Надання державної соціальної допомоги особам з інвалідністю з дитинства та дітям з інвалідністю (субвенція з обласного бюджету за рахунок коштів державного бюджету) </t>
  </si>
  <si>
    <t xml:space="preserve">Надання державної соціальної допомоги особам,  які не  мають права на пенсію, та особам з інвалідністю, державної соціальної допомоги на догляд (субвенція з обласного бюджету за рахунок коштів державного бюджету) </t>
  </si>
  <si>
    <t xml:space="preserve">Надання допомоги по догляду за особами з інвалідністю I чи II групи внаслідок психічного розладу (субвенція з обласного бюджету за рахунок коштів державного бюджету) </t>
  </si>
  <si>
    <t xml:space="preserve">Надання тимчасової державної соціальної допомоги непрацюючій особі, яка досягла загального пенсійного віку, але не набула права на пенсійну виплату (субвенція з обласного бюджету за рахунок коштів державного бюджету) </t>
  </si>
  <si>
    <t xml:space="preserve">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 (субвенція з обласного бюджету за рахунок коштів державного бюджету) </t>
  </si>
  <si>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(субвенція з обласного бюджету за рахунок коштів державного бюджету) </t>
  </si>
  <si>
    <t xml:space="preserve">Надання допомоги та дітей, які виховуються багатодітних сім'ях (субвенція з обласного бюджету за рахунок коштів державного бюджету) </t>
  </si>
  <si>
    <t xml:space="preserve">Видатки на поховання учасників бойових дій та осіб з інвалідністю внаслідок війни(субвенція з обласного бюджету) </t>
  </si>
  <si>
    <t xml:space="preserve"> - субвенція з обласного бюджету на реалізацію мікропроекту  «Вуличний дитячий майданчик – крок до здійснення мрій дітей з особливими потребами»</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</si>
  <si>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</si>
  <si>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 xml:space="preserve"> - субвенція з обласного бюджету</t>
  </si>
  <si>
    <r>
      <t xml:space="preserve"> -  </t>
    </r>
    <r>
      <rPr>
        <b/>
        <i/>
        <sz val="12"/>
        <rFont val="Times New Roman"/>
        <family val="1"/>
      </rPr>
      <t>субвенції з державного бюджету</t>
    </r>
    <r>
      <rPr>
        <i/>
        <sz val="12"/>
        <rFont val="Times New Roman"/>
        <family val="1"/>
      </rPr>
      <t xml:space="preserve">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r>
  </si>
  <si>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(субвенція з обласного бюджету за рахунок коштів державного бюджету)</t>
  </si>
  <si>
    <t xml:space="preserve"> -  за рахунок субвенції з обласного бюджету</t>
  </si>
  <si>
    <t>Придбання житла для окремих категорій населення відповідно до законодавства (субвенція обласного бюджету за рахунок відповідної субвенції з державного бюджету)</t>
  </si>
  <si>
    <t xml:space="preserve"> -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</si>
  <si>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утримання комунального закладу "Центр соціально-психологічної реабілітації дітей"(субвенція з обласного бюджету)</t>
  </si>
  <si>
    <r>
      <t xml:space="preserve"> - </t>
    </r>
    <r>
      <rPr>
        <b/>
        <i/>
        <sz val="12"/>
        <rFont val="Times New Roman"/>
        <family val="1"/>
      </rPr>
      <t xml:space="preserve">субвенція з обласного бюджету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</si>
  <si>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</si>
  <si>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</si>
  <si>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</si>
  <si>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розвиток автомобільних доріг та дорожньої інфраструктури за рахунок субвенції з державного бюджету</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</si>
  <si>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 (субвенція з державного бюджету)</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</si>
  <si>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</si>
  <si>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</si>
  <si>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</si>
  <si>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від__17.12.______2020_№_18________</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</si>
</sst>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0"/>
    <numFmt numFmtId="205" formatCode="#,##0.000000000"/>
    <numFmt numFmtId="206" formatCode="#,##0.0000000000"/>
    <numFmt numFmtId="207" formatCode="#,##0.00000000000"/>
    <numFmt numFmtId="208" formatCode="#,##0.000000000000"/>
    <numFmt numFmtId="209" formatCode="#,##0.0000000000000"/>
  </numFmts>
  <fonts count="55">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b/>
      <sz val="18"/>
      <name val="Times New Roman"/>
      <family val="1"/>
    </font>
    <font>
      <i/>
      <sz val="14"/>
      <name val="Times New Roman"/>
      <family val="1"/>
    </font>
    <font>
      <sz val="11"/>
      <name val="Times New Roman"/>
      <family val="1"/>
    </font>
    <font>
      <b/>
      <sz val="16"/>
      <name val="Times New Roman"/>
      <family val="1"/>
    </font>
    <font>
      <sz val="9"/>
      <name val="Arial Cyr"/>
      <family val="0"/>
    </font>
    <font>
      <sz val="24"/>
      <name val="Times New Roman"/>
      <family val="1"/>
    </font>
    <font>
      <b/>
      <i/>
      <sz val="12"/>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33"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12" fillId="0" borderId="0" applyNumberFormat="0" applyFill="0" applyBorder="0" applyAlignment="0" applyProtection="0"/>
    <xf numFmtId="0" fontId="49" fillId="21" borderId="0" applyNumberFormat="0" applyBorder="0" applyAlignment="0" applyProtection="0"/>
    <xf numFmtId="0" fontId="2"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203">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horizontal="center"/>
    </xf>
    <xf numFmtId="0" fontId="13" fillId="0" borderId="0" xfId="0" applyFont="1" applyFill="1" applyAlignment="1">
      <alignment/>
    </xf>
    <xf numFmtId="198"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198" fontId="9" fillId="0" borderId="0" xfId="0" applyNumberFormat="1" applyFont="1" applyFill="1" applyBorder="1" applyAlignment="1">
      <alignment wrapText="1"/>
    </xf>
    <xf numFmtId="198"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197" fontId="6" fillId="0" borderId="0" xfId="0" applyNumberFormat="1" applyFont="1" applyFill="1" applyBorder="1" applyAlignment="1">
      <alignment/>
    </xf>
    <xf numFmtId="0" fontId="5" fillId="0" borderId="0" xfId="0" applyFont="1" applyFill="1" applyBorder="1" applyAlignment="1">
      <alignment vertical="center" wrapText="1"/>
    </xf>
    <xf numFmtId="0" fontId="16"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Alignment="1">
      <alignment horizontal="right" wrapText="1"/>
    </xf>
    <xf numFmtId="198" fontId="6" fillId="0" borderId="0" xfId="0" applyNumberFormat="1" applyFont="1" applyFill="1" applyBorder="1" applyAlignment="1">
      <alignment/>
    </xf>
    <xf numFmtId="198" fontId="6" fillId="0" borderId="0" xfId="0" applyNumberFormat="1" applyFont="1" applyFill="1" applyAlignment="1">
      <alignment horizontal="right"/>
    </xf>
    <xf numFmtId="198" fontId="5" fillId="0" borderId="0" xfId="0" applyNumberFormat="1" applyFont="1" applyFill="1" applyAlignment="1">
      <alignment horizontal="right" wrapText="1"/>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98" fontId="16"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198" fontId="5" fillId="0" borderId="0" xfId="0" applyNumberFormat="1" applyFont="1" applyFill="1" applyBorder="1" applyAlignment="1">
      <alignment horizontal="right" wrapText="1"/>
    </xf>
    <xf numFmtId="0" fontId="9" fillId="0" borderId="0" xfId="0" applyFont="1" applyFill="1" applyBorder="1" applyAlignment="1">
      <alignment horizontal="center"/>
    </xf>
    <xf numFmtId="198" fontId="9" fillId="0" borderId="0" xfId="0" applyNumberFormat="1" applyFont="1" applyFill="1" applyBorder="1" applyAlignment="1">
      <alignment horizontal="right" wrapText="1"/>
    </xf>
    <xf numFmtId="0" fontId="5" fillId="0" borderId="0" xfId="0" applyFont="1" applyFill="1" applyAlignment="1">
      <alignment/>
    </xf>
    <xf numFmtId="198" fontId="5" fillId="0" borderId="0" xfId="0" applyNumberFormat="1" applyFont="1" applyFill="1" applyAlignment="1">
      <alignment/>
    </xf>
    <xf numFmtId="198" fontId="9" fillId="0" borderId="0" xfId="0" applyNumberFormat="1" applyFont="1" applyFill="1" applyBorder="1" applyAlignment="1">
      <alignment horizontal="left" wrapText="1"/>
    </xf>
    <xf numFmtId="198" fontId="16" fillId="0" borderId="0" xfId="0" applyNumberFormat="1" applyFont="1" applyFill="1" applyBorder="1" applyAlignment="1">
      <alignment/>
    </xf>
    <xf numFmtId="3" fontId="5" fillId="0" borderId="0" xfId="0" applyNumberFormat="1" applyFont="1" applyFill="1" applyBorder="1" applyAlignment="1">
      <alignment wrapText="1"/>
    </xf>
    <xf numFmtId="3" fontId="9" fillId="0" borderId="0" xfId="0" applyNumberFormat="1" applyFont="1" applyFill="1" applyBorder="1" applyAlignment="1">
      <alignment wrapText="1"/>
    </xf>
    <xf numFmtId="3" fontId="9" fillId="0" borderId="0" xfId="0" applyNumberFormat="1" applyFont="1" applyFill="1" applyBorder="1" applyAlignment="1">
      <alignment horizontal="right" wrapText="1"/>
    </xf>
    <xf numFmtId="3" fontId="9" fillId="0" borderId="0" xfId="0" applyNumberFormat="1" applyFont="1" applyFill="1" applyBorder="1" applyAlignment="1">
      <alignment horizontal="lef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horizontal="lef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horizontal="center" wrapText="1"/>
    </xf>
    <xf numFmtId="49" fontId="5" fillId="0" borderId="0" xfId="0" applyNumberFormat="1" applyFont="1" applyFill="1" applyAlignment="1">
      <alignment wrapText="1"/>
    </xf>
    <xf numFmtId="0" fontId="4" fillId="0" borderId="0" xfId="0" applyFont="1" applyFill="1" applyAlignment="1">
      <alignment horizontal="left"/>
    </xf>
    <xf numFmtId="198" fontId="13" fillId="0" borderId="0" xfId="0" applyNumberFormat="1" applyFont="1" applyFill="1" applyAlignment="1">
      <alignment wrapText="1"/>
    </xf>
    <xf numFmtId="198" fontId="18" fillId="0" borderId="0" xfId="0" applyNumberFormat="1" applyFont="1" applyFill="1" applyAlignment="1">
      <alignment wrapText="1"/>
    </xf>
    <xf numFmtId="198"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3" fontId="19"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19" fillId="0" borderId="0" xfId="0" applyFont="1" applyFill="1" applyAlignment="1">
      <alignment horizontal="left" wrapText="1"/>
    </xf>
    <xf numFmtId="3" fontId="19" fillId="0" borderId="0" xfId="0" applyNumberFormat="1" applyFont="1" applyFill="1" applyAlignment="1">
      <alignment horizontal="right" wrapText="1"/>
    </xf>
    <xf numFmtId="198" fontId="19" fillId="0" borderId="0" xfId="0" applyNumberFormat="1" applyFont="1" applyFill="1" applyBorder="1" applyAlignment="1">
      <alignment wrapText="1"/>
    </xf>
    <xf numFmtId="0" fontId="14" fillId="0" borderId="0" xfId="0" applyFont="1" applyFill="1" applyAlignment="1">
      <alignment/>
    </xf>
    <xf numFmtId="195" fontId="3" fillId="0" borderId="0" xfId="0" applyNumberFormat="1" applyFont="1" applyFill="1" applyBorder="1" applyAlignment="1">
      <alignment horizontal="right" wrapText="1"/>
    </xf>
    <xf numFmtId="0" fontId="3" fillId="0" borderId="0" xfId="0" applyFont="1" applyFill="1" applyBorder="1" applyAlignment="1">
      <alignment wrapText="1"/>
    </xf>
    <xf numFmtId="3" fontId="8" fillId="0" borderId="0" xfId="0" applyNumberFormat="1" applyFont="1" applyFill="1" applyBorder="1" applyAlignment="1">
      <alignment wrapText="1"/>
    </xf>
    <xf numFmtId="3" fontId="9" fillId="0" borderId="0" xfId="0" applyNumberFormat="1" applyFont="1" applyFill="1" applyBorder="1" applyAlignment="1">
      <alignment/>
    </xf>
    <xf numFmtId="2" fontId="13" fillId="0" borderId="0" xfId="0" applyNumberFormat="1" applyFont="1" applyFill="1" applyAlignment="1">
      <alignment horizontal="center" wrapText="1"/>
    </xf>
    <xf numFmtId="4" fontId="5" fillId="0" borderId="0" xfId="0" applyNumberFormat="1" applyFont="1" applyFill="1" applyBorder="1" applyAlignment="1">
      <alignment wrapText="1"/>
    </xf>
    <xf numFmtId="4" fontId="9" fillId="0" borderId="0" xfId="0" applyNumberFormat="1"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4" fontId="6" fillId="0" borderId="0" xfId="0" applyNumberFormat="1" applyFont="1" applyFill="1" applyBorder="1" applyAlignment="1">
      <alignment wrapText="1"/>
    </xf>
    <xf numFmtId="49" fontId="3" fillId="0" borderId="0" xfId="0" applyNumberFormat="1" applyFont="1" applyFill="1" applyBorder="1" applyAlignment="1">
      <alignment horizontal="center" wrapText="1"/>
    </xf>
    <xf numFmtId="2" fontId="13" fillId="0" borderId="0"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0" fontId="13" fillId="0" borderId="0" xfId="0" applyFont="1" applyFill="1" applyBorder="1" applyAlignment="1">
      <alignment horizontal="center"/>
    </xf>
    <xf numFmtId="0" fontId="13" fillId="0" borderId="0" xfId="0" applyFont="1" applyFill="1" applyBorder="1" applyAlignment="1">
      <alignment/>
    </xf>
    <xf numFmtId="2" fontId="13" fillId="0" borderId="0" xfId="0" applyNumberFormat="1" applyFont="1" applyFill="1" applyBorder="1" applyAlignment="1">
      <alignment wrapText="1"/>
    </xf>
    <xf numFmtId="196" fontId="5" fillId="0" borderId="0" xfId="0" applyNumberFormat="1" applyFont="1" applyFill="1" applyBorder="1" applyAlignment="1">
      <alignment wrapText="1"/>
    </xf>
    <xf numFmtId="198" fontId="13" fillId="0" borderId="0" xfId="0" applyNumberFormat="1" applyFont="1" applyFill="1" applyBorder="1" applyAlignment="1">
      <alignment wrapText="1"/>
    </xf>
    <xf numFmtId="198" fontId="13" fillId="0" borderId="0" xfId="0" applyNumberFormat="1" applyFont="1" applyFill="1" applyBorder="1" applyAlignment="1">
      <alignment horizontal="center" wrapText="1"/>
    </xf>
    <xf numFmtId="49" fontId="13" fillId="0" borderId="0" xfId="0" applyNumberFormat="1" applyFont="1" applyFill="1" applyBorder="1" applyAlignment="1">
      <alignment horizontal="right" wrapText="1"/>
    </xf>
    <xf numFmtId="198"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2" fontId="3" fillId="0" borderId="0" xfId="0" applyNumberFormat="1"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horizontal="right" wrapText="1"/>
    </xf>
    <xf numFmtId="49" fontId="20" fillId="0" borderId="0" xfId="0" applyNumberFormat="1" applyFont="1" applyFill="1" applyBorder="1" applyAlignment="1">
      <alignment horizontal="right" wrapText="1"/>
    </xf>
    <xf numFmtId="195" fontId="8" fillId="0" borderId="0" xfId="0" applyNumberFormat="1" applyFont="1" applyFill="1" applyBorder="1" applyAlignment="1">
      <alignment horizontal="right" wrapText="1"/>
    </xf>
    <xf numFmtId="49" fontId="5" fillId="0" borderId="0" xfId="0" applyNumberFormat="1" applyFont="1" applyFill="1" applyBorder="1" applyAlignment="1">
      <alignment horizontal="right" wrapText="1"/>
    </xf>
    <xf numFmtId="197" fontId="3" fillId="0" borderId="0" xfId="0" applyNumberFormat="1" applyFont="1" applyFill="1" applyBorder="1" applyAlignment="1">
      <alignment wrapText="1"/>
    </xf>
    <xf numFmtId="49" fontId="21"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2" fontId="13" fillId="0" borderId="0" xfId="0" applyNumberFormat="1" applyFont="1" applyFill="1" applyBorder="1" applyAlignment="1">
      <alignment horizontal="right" wrapText="1"/>
    </xf>
    <xf numFmtId="3" fontId="8" fillId="0" borderId="0" xfId="0" applyNumberFormat="1" applyFont="1" applyFill="1" applyBorder="1" applyAlignment="1">
      <alignment horizontal="center" wrapText="1"/>
    </xf>
    <xf numFmtId="1" fontId="8" fillId="0" borderId="0" xfId="0" applyNumberFormat="1" applyFont="1" applyFill="1" applyBorder="1" applyAlignment="1">
      <alignment horizontal="right" wrapText="1"/>
    </xf>
    <xf numFmtId="1" fontId="3" fillId="0" borderId="0" xfId="0" applyNumberFormat="1" applyFont="1" applyFill="1" applyBorder="1" applyAlignment="1">
      <alignment wrapText="1"/>
    </xf>
    <xf numFmtId="2" fontId="20" fillId="0" borderId="0" xfId="0" applyNumberFormat="1" applyFont="1" applyFill="1" applyBorder="1" applyAlignment="1">
      <alignment horizontal="right" wrapText="1"/>
    </xf>
    <xf numFmtId="1" fontId="8" fillId="0" borderId="0" xfId="0" applyNumberFormat="1" applyFont="1" applyFill="1" applyBorder="1" applyAlignment="1">
      <alignment wrapText="1"/>
    </xf>
    <xf numFmtId="4" fontId="3" fillId="0" borderId="0" xfId="0" applyNumberFormat="1" applyFont="1" applyFill="1" applyBorder="1" applyAlignment="1">
      <alignment wrapText="1"/>
    </xf>
    <xf numFmtId="49" fontId="20" fillId="0" borderId="10" xfId="0" applyNumberFormat="1" applyFont="1" applyFill="1" applyBorder="1" applyAlignment="1">
      <alignment horizontal="right" wrapText="1"/>
    </xf>
    <xf numFmtId="1" fontId="8" fillId="0" borderId="10" xfId="0" applyNumberFormat="1" applyFont="1" applyFill="1" applyBorder="1" applyAlignment="1">
      <alignment wrapText="1"/>
    </xf>
    <xf numFmtId="3" fontId="8" fillId="0" borderId="10" xfId="0" applyNumberFormat="1" applyFont="1" applyFill="1" applyBorder="1" applyAlignment="1">
      <alignment horizontal="center" wrapText="1"/>
    </xf>
    <xf numFmtId="3" fontId="23" fillId="0" borderId="0" xfId="0" applyNumberFormat="1" applyFont="1" applyFill="1" applyBorder="1" applyAlignment="1">
      <alignment horizontal="center" wrapText="1"/>
    </xf>
    <xf numFmtId="0" fontId="8" fillId="0" borderId="0" xfId="0" applyFont="1" applyFill="1" applyAlignment="1">
      <alignment/>
    </xf>
    <xf numFmtId="0" fontId="8" fillId="0" borderId="0" xfId="0" applyFont="1" applyFill="1" applyAlignment="1">
      <alignment horizontal="center"/>
    </xf>
    <xf numFmtId="197" fontId="8" fillId="0" borderId="0" xfId="0" applyNumberFormat="1" applyFont="1" applyFill="1" applyBorder="1" applyAlignment="1">
      <alignment wrapText="1"/>
    </xf>
    <xf numFmtId="0" fontId="6" fillId="0" borderId="0" xfId="0" applyFont="1" applyFill="1" applyAlignment="1">
      <alignment wrapText="1"/>
    </xf>
    <xf numFmtId="197" fontId="24" fillId="0" borderId="0" xfId="0" applyNumberFormat="1" applyFont="1" applyFill="1" applyBorder="1" applyAlignment="1">
      <alignment wrapText="1"/>
    </xf>
    <xf numFmtId="4" fontId="3" fillId="0" borderId="0" xfId="0" applyNumberFormat="1" applyFont="1" applyFill="1" applyBorder="1" applyAlignment="1">
      <alignment horizontal="center" wrapText="1"/>
    </xf>
    <xf numFmtId="4" fontId="9" fillId="0" borderId="0" xfId="0" applyNumberFormat="1" applyFont="1" applyFill="1" applyBorder="1" applyAlignment="1">
      <alignment horizontal="right" wrapText="1"/>
    </xf>
    <xf numFmtId="0" fontId="4" fillId="0" borderId="0" xfId="0" applyFont="1" applyFill="1" applyBorder="1" applyAlignment="1">
      <alignment/>
    </xf>
    <xf numFmtId="4" fontId="5" fillId="0" borderId="0" xfId="0" applyNumberFormat="1" applyFont="1" applyFill="1" applyBorder="1" applyAlignment="1">
      <alignment horizontal="center" wrapText="1"/>
    </xf>
    <xf numFmtId="4" fontId="15" fillId="0" borderId="0" xfId="0" applyNumberFormat="1" applyFont="1" applyFill="1" applyBorder="1" applyAlignment="1">
      <alignment wrapText="1"/>
    </xf>
    <xf numFmtId="4" fontId="17" fillId="0" borderId="0" xfId="0" applyNumberFormat="1" applyFont="1" applyFill="1" applyBorder="1" applyAlignment="1">
      <alignment wrapText="1"/>
    </xf>
    <xf numFmtId="4" fontId="16" fillId="0" borderId="0" xfId="0" applyNumberFormat="1" applyFont="1" applyFill="1" applyBorder="1" applyAlignment="1">
      <alignment wrapText="1"/>
    </xf>
    <xf numFmtId="4" fontId="5" fillId="0" borderId="0" xfId="0" applyNumberFormat="1" applyFont="1" applyFill="1" applyAlignment="1">
      <alignment horizontal="right" wrapText="1"/>
    </xf>
    <xf numFmtId="4" fontId="5" fillId="0" borderId="0" xfId="0" applyNumberFormat="1" applyFont="1" applyFill="1" applyBorder="1" applyAlignment="1" applyProtection="1">
      <alignment/>
      <protection locked="0"/>
    </xf>
    <xf numFmtId="4" fontId="6" fillId="0" borderId="0" xfId="0" applyNumberFormat="1" applyFont="1" applyFill="1" applyAlignment="1">
      <alignment horizontal="right" wrapText="1"/>
    </xf>
    <xf numFmtId="4" fontId="5"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19" fillId="0" borderId="0" xfId="0" applyNumberFormat="1" applyFont="1" applyFill="1" applyAlignment="1">
      <alignment wrapText="1"/>
    </xf>
    <xf numFmtId="4" fontId="19" fillId="0" borderId="0" xfId="0" applyNumberFormat="1" applyFont="1" applyFill="1" applyAlignment="1">
      <alignment horizontal="right" wrapText="1"/>
    </xf>
    <xf numFmtId="198" fontId="6" fillId="0" borderId="0" xfId="0" applyNumberFormat="1" applyFont="1" applyFill="1" applyAlignment="1">
      <alignment horizontal="left"/>
    </xf>
    <xf numFmtId="4" fontId="26" fillId="0" borderId="0" xfId="0" applyNumberFormat="1" applyFont="1" applyFill="1" applyBorder="1" applyAlignment="1">
      <alignment wrapText="1"/>
    </xf>
    <xf numFmtId="2" fontId="8" fillId="0" borderId="0" xfId="0" applyNumberFormat="1" applyFont="1" applyFill="1" applyBorder="1" applyAlignment="1">
      <alignment horizontal="right" wrapText="1"/>
    </xf>
    <xf numFmtId="2" fontId="3" fillId="0" borderId="0" xfId="0" applyNumberFormat="1" applyFont="1" applyFill="1" applyBorder="1" applyAlignment="1">
      <alignment horizontal="right" wrapText="1"/>
    </xf>
    <xf numFmtId="197" fontId="16" fillId="0" borderId="0" xfId="0" applyNumberFormat="1" applyFont="1" applyFill="1" applyBorder="1" applyAlignment="1">
      <alignment/>
    </xf>
    <xf numFmtId="0" fontId="9" fillId="0" borderId="0" xfId="0" applyFont="1" applyFill="1" applyBorder="1" applyAlignment="1">
      <alignment vertical="center" wrapText="1"/>
    </xf>
    <xf numFmtId="4" fontId="19" fillId="0" borderId="0" xfId="0" applyNumberFormat="1" applyFont="1" applyFill="1" applyBorder="1" applyAlignment="1">
      <alignment wrapText="1"/>
    </xf>
    <xf numFmtId="4" fontId="27" fillId="0" borderId="0" xfId="0" applyNumberFormat="1" applyFont="1" applyFill="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25" fillId="0" borderId="0" xfId="0" applyFont="1" applyFill="1" applyAlignment="1">
      <alignment horizontal="center"/>
    </xf>
    <xf numFmtId="49" fontId="4" fillId="0" borderId="11" xfId="0" applyNumberFormat="1" applyFont="1" applyFill="1" applyBorder="1" applyAlignment="1">
      <alignment horizontal="center" wrapText="1"/>
    </xf>
    <xf numFmtId="0" fontId="5" fillId="0" borderId="12" xfId="0" applyFont="1" applyFill="1" applyBorder="1" applyAlignment="1">
      <alignment horizontal="center" vertical="top"/>
    </xf>
    <xf numFmtId="49" fontId="5" fillId="0" borderId="13" xfId="0" applyNumberFormat="1" applyFont="1" applyFill="1" applyBorder="1" applyAlignment="1">
      <alignment horizontal="center" wrapText="1"/>
    </xf>
    <xf numFmtId="49" fontId="25" fillId="0" borderId="0" xfId="0" applyNumberFormat="1" applyFont="1" applyFill="1" applyAlignment="1">
      <alignment horizontal="center" wrapText="1"/>
    </xf>
    <xf numFmtId="198" fontId="13" fillId="0" borderId="0" xfId="0" applyNumberFormat="1" applyFont="1" applyFill="1" applyAlignment="1">
      <alignment horizontal="center" wrapText="1"/>
    </xf>
    <xf numFmtId="0" fontId="22" fillId="0" borderId="14"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22" fillId="0" borderId="19"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center" wrapText="1"/>
      <protection/>
    </xf>
    <xf numFmtId="0" fontId="5" fillId="0" borderId="0" xfId="0" applyFont="1" applyFill="1" applyAlignment="1">
      <alignment wrapText="1"/>
    </xf>
    <xf numFmtId="0" fontId="9" fillId="0" borderId="0" xfId="0" applyFont="1" applyFill="1" applyAlignment="1">
      <alignment/>
    </xf>
    <xf numFmtId="198"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13" fillId="0" borderId="0" xfId="0" applyFont="1" applyFill="1" applyBorder="1" applyAlignment="1">
      <alignment horizontal="right"/>
    </xf>
    <xf numFmtId="198" fontId="3" fillId="0" borderId="0" xfId="0" applyNumberFormat="1" applyFont="1" applyFill="1" applyBorder="1" applyAlignment="1">
      <alignment horizontal="right"/>
    </xf>
    <xf numFmtId="0" fontId="8" fillId="0" borderId="0" xfId="0" applyFont="1" applyFill="1" applyBorder="1" applyAlignment="1">
      <alignment wrapText="1"/>
    </xf>
    <xf numFmtId="4" fontId="6" fillId="0" borderId="0" xfId="0" applyNumberFormat="1" applyFont="1" applyFill="1" applyBorder="1" applyAlignment="1" applyProtection="1">
      <alignment/>
      <protection locked="0"/>
    </xf>
    <xf numFmtId="198" fontId="6" fillId="0" borderId="0" xfId="0" applyNumberFormat="1" applyFont="1" applyFill="1" applyBorder="1" applyAlignment="1" applyProtection="1">
      <alignment/>
      <protection locked="0"/>
    </xf>
    <xf numFmtId="198" fontId="5"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198" fontId="5" fillId="0" borderId="0" xfId="0" applyNumberFormat="1" applyFont="1" applyFill="1" applyBorder="1" applyAlignment="1">
      <alignment/>
    </xf>
    <xf numFmtId="198" fontId="6" fillId="0" borderId="0" xfId="0" applyNumberFormat="1" applyFont="1" applyFill="1" applyBorder="1" applyAlignment="1">
      <alignment/>
    </xf>
    <xf numFmtId="198" fontId="9" fillId="0" borderId="0" xfId="0" applyNumberFormat="1" applyFont="1" applyFill="1" applyBorder="1" applyAlignment="1">
      <alignment/>
    </xf>
    <xf numFmtId="3"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626"/>
  <sheetViews>
    <sheetView tabSelected="1" view="pageBreakPreview" zoomScale="40" zoomScaleNormal="50" zoomScaleSheetLayoutView="40" workbookViewId="0" topLeftCell="C1">
      <selection activeCell="F2" sqref="F2"/>
    </sheetView>
  </sheetViews>
  <sheetFormatPr defaultColWidth="9.125" defaultRowHeight="12.75"/>
  <cols>
    <col min="1" max="1" width="4.00390625" style="2" hidden="1" customWidth="1"/>
    <col min="2" max="2" width="8.375" style="2" hidden="1" customWidth="1"/>
    <col min="3" max="3" width="12.375" style="8" customWidth="1"/>
    <col min="4" max="5" width="10.25390625" style="8" customWidth="1"/>
    <col min="6" max="6" width="66.50390625" style="1" customWidth="1"/>
    <col min="7" max="7" width="17.625" style="1" customWidth="1"/>
    <col min="8" max="8" width="16.625" style="1" customWidth="1"/>
    <col min="9" max="9" width="16.125" style="1" customWidth="1"/>
    <col min="10" max="10" width="15.75390625" style="1" customWidth="1"/>
    <col min="11" max="11" width="13.625" style="14" customWidth="1"/>
    <col min="12" max="12" width="16.50390625" style="1" customWidth="1"/>
    <col min="13" max="13" width="16.875" style="1" customWidth="1"/>
    <col min="14" max="14" width="14.00390625" style="202" customWidth="1"/>
    <col min="15" max="15" width="15.125" style="1" customWidth="1"/>
    <col min="16" max="16" width="15.00390625" style="1" customWidth="1"/>
    <col min="17" max="17" width="16.125" style="1" customWidth="1"/>
    <col min="18" max="18" width="17.50390625" style="1" customWidth="1"/>
    <col min="19" max="19" width="20.375" style="1" customWidth="1"/>
    <col min="20" max="20" width="22.375" style="7" customWidth="1"/>
    <col min="21" max="21" width="25.875" style="2" customWidth="1"/>
    <col min="22" max="22" width="19.625" style="2" bestFit="1" customWidth="1"/>
    <col min="23" max="23" width="18.125" style="2" customWidth="1"/>
    <col min="24" max="16384" width="9.125" style="2" customWidth="1"/>
  </cols>
  <sheetData>
    <row r="1" spans="3:20" s="3" customFormat="1" ht="30.75" customHeight="1">
      <c r="C1" s="67"/>
      <c r="D1" s="67"/>
      <c r="E1" s="67"/>
      <c r="F1" s="68"/>
      <c r="G1" s="68"/>
      <c r="H1" s="68"/>
      <c r="I1" s="68"/>
      <c r="J1" s="68"/>
      <c r="K1" s="69"/>
      <c r="L1" s="68"/>
      <c r="M1" s="68"/>
      <c r="N1" s="71" t="s">
        <v>533</v>
      </c>
      <c r="O1" s="71"/>
      <c r="P1" s="68"/>
      <c r="R1" s="70"/>
      <c r="S1" s="59"/>
      <c r="T1" s="74"/>
    </row>
    <row r="2" spans="3:20" s="3" customFormat="1" ht="24.75" customHeight="1">
      <c r="C2" s="67"/>
      <c r="D2" s="67"/>
      <c r="E2" s="67"/>
      <c r="F2" s="68"/>
      <c r="G2" s="68"/>
      <c r="H2" s="68"/>
      <c r="I2" s="68"/>
      <c r="J2" s="68"/>
      <c r="K2" s="69"/>
      <c r="L2" s="68"/>
      <c r="M2" s="71"/>
      <c r="N2" s="71" t="s">
        <v>534</v>
      </c>
      <c r="O2" s="71"/>
      <c r="P2" s="71"/>
      <c r="R2" s="71"/>
      <c r="S2" s="59"/>
      <c r="T2" s="75"/>
    </row>
    <row r="3" spans="3:20" s="3" customFormat="1" ht="25.5" customHeight="1">
      <c r="C3" s="67"/>
      <c r="D3" s="67"/>
      <c r="E3" s="67"/>
      <c r="F3" s="68"/>
      <c r="G3" s="68"/>
      <c r="H3" s="68"/>
      <c r="I3" s="68"/>
      <c r="J3" s="68"/>
      <c r="K3" s="69"/>
      <c r="L3" s="68"/>
      <c r="M3" s="78"/>
      <c r="N3" s="78" t="s">
        <v>717</v>
      </c>
      <c r="O3" s="71"/>
      <c r="P3" s="67"/>
      <c r="R3" s="71"/>
      <c r="S3" s="59"/>
      <c r="T3" s="74"/>
    </row>
    <row r="4" spans="3:20" s="3" customFormat="1" ht="25.5" customHeight="1">
      <c r="C4" s="67"/>
      <c r="D4" s="67"/>
      <c r="E4" s="67"/>
      <c r="F4" s="68"/>
      <c r="G4" s="68"/>
      <c r="H4" s="68"/>
      <c r="I4" s="68"/>
      <c r="J4" s="68"/>
      <c r="K4" s="69"/>
      <c r="L4" s="68"/>
      <c r="M4" s="78"/>
      <c r="N4" s="78"/>
      <c r="O4" s="71"/>
      <c r="P4" s="67"/>
      <c r="R4" s="71"/>
      <c r="S4" s="59"/>
      <c r="T4" s="74"/>
    </row>
    <row r="5" spans="3:20" s="3" customFormat="1" ht="25.5" customHeight="1">
      <c r="C5" s="165" t="s">
        <v>19</v>
      </c>
      <c r="D5" s="165"/>
      <c r="E5" s="165"/>
      <c r="F5" s="165"/>
      <c r="G5" s="165"/>
      <c r="H5" s="165"/>
      <c r="I5" s="165"/>
      <c r="J5" s="165"/>
      <c r="K5" s="165"/>
      <c r="L5" s="165"/>
      <c r="M5" s="165"/>
      <c r="N5" s="165"/>
      <c r="O5" s="165"/>
      <c r="P5" s="165"/>
      <c r="Q5" s="165"/>
      <c r="R5" s="165"/>
      <c r="S5" s="59"/>
      <c r="T5" s="74"/>
    </row>
    <row r="6" spans="3:20" s="3" customFormat="1" ht="24" customHeight="1">
      <c r="C6" s="169" t="s">
        <v>20</v>
      </c>
      <c r="D6" s="169"/>
      <c r="E6" s="169"/>
      <c r="F6" s="169"/>
      <c r="G6" s="169"/>
      <c r="H6" s="169"/>
      <c r="I6" s="169"/>
      <c r="J6" s="169"/>
      <c r="K6" s="169"/>
      <c r="L6" s="169"/>
      <c r="M6" s="169"/>
      <c r="N6" s="169"/>
      <c r="O6" s="169"/>
      <c r="P6" s="169"/>
      <c r="Q6" s="169"/>
      <c r="R6" s="169"/>
      <c r="S6" s="77"/>
      <c r="T6" s="77"/>
    </row>
    <row r="7" spans="3:20" s="3" customFormat="1" ht="24" customHeight="1">
      <c r="C7" s="166" t="s">
        <v>27</v>
      </c>
      <c r="D7" s="166"/>
      <c r="E7" s="19"/>
      <c r="F7" s="19"/>
      <c r="G7" s="19"/>
      <c r="H7" s="19"/>
      <c r="I7" s="19"/>
      <c r="J7" s="19"/>
      <c r="K7" s="19"/>
      <c r="L7" s="19"/>
      <c r="M7" s="19"/>
      <c r="N7" s="19"/>
      <c r="O7" s="19"/>
      <c r="P7" s="19"/>
      <c r="Q7" s="19"/>
      <c r="R7" s="19"/>
      <c r="S7" s="77"/>
      <c r="T7" s="77"/>
    </row>
    <row r="8" spans="3:20" s="3" customFormat="1" ht="24" customHeight="1">
      <c r="C8" s="167" t="s">
        <v>28</v>
      </c>
      <c r="D8" s="167"/>
      <c r="E8" s="73"/>
      <c r="F8" s="77"/>
      <c r="G8" s="77"/>
      <c r="H8" s="77"/>
      <c r="I8" s="77"/>
      <c r="J8" s="77"/>
      <c r="K8" s="77"/>
      <c r="L8" s="77"/>
      <c r="M8" s="77"/>
      <c r="N8" s="77"/>
      <c r="O8" s="77"/>
      <c r="P8" s="77"/>
      <c r="Q8" s="77"/>
      <c r="R8" s="77" t="s">
        <v>557</v>
      </c>
      <c r="S8" s="77"/>
      <c r="T8" s="77"/>
    </row>
    <row r="9" spans="3:20" s="3" customFormat="1" ht="24" customHeight="1">
      <c r="C9" s="171" t="s">
        <v>90</v>
      </c>
      <c r="D9" s="171" t="s">
        <v>91</v>
      </c>
      <c r="E9" s="171" t="s">
        <v>516</v>
      </c>
      <c r="F9" s="171" t="s">
        <v>92</v>
      </c>
      <c r="G9" s="172" t="s">
        <v>511</v>
      </c>
      <c r="H9" s="173"/>
      <c r="I9" s="173"/>
      <c r="J9" s="173"/>
      <c r="K9" s="174"/>
      <c r="L9" s="172" t="s">
        <v>512</v>
      </c>
      <c r="M9" s="173"/>
      <c r="N9" s="173"/>
      <c r="O9" s="173"/>
      <c r="P9" s="173"/>
      <c r="Q9" s="174"/>
      <c r="R9" s="175" t="s">
        <v>108</v>
      </c>
      <c r="S9" s="168"/>
      <c r="T9" s="76"/>
    </row>
    <row r="10" spans="3:20" s="3" customFormat="1" ht="24" customHeight="1">
      <c r="C10" s="176"/>
      <c r="D10" s="176"/>
      <c r="E10" s="176"/>
      <c r="F10" s="176"/>
      <c r="G10" s="175" t="s">
        <v>513</v>
      </c>
      <c r="H10" s="177" t="s">
        <v>95</v>
      </c>
      <c r="I10" s="172" t="s">
        <v>514</v>
      </c>
      <c r="J10" s="174"/>
      <c r="K10" s="177" t="s">
        <v>96</v>
      </c>
      <c r="L10" s="175" t="s">
        <v>513</v>
      </c>
      <c r="M10" s="175" t="s">
        <v>515</v>
      </c>
      <c r="N10" s="177" t="s">
        <v>95</v>
      </c>
      <c r="O10" s="172" t="s">
        <v>514</v>
      </c>
      <c r="P10" s="174"/>
      <c r="Q10" s="177" t="s">
        <v>96</v>
      </c>
      <c r="R10" s="178"/>
      <c r="S10" s="168"/>
      <c r="T10" s="76"/>
    </row>
    <row r="11" spans="3:20" s="3" customFormat="1" ht="24" customHeight="1">
      <c r="C11" s="176"/>
      <c r="D11" s="176"/>
      <c r="E11" s="176"/>
      <c r="F11" s="176"/>
      <c r="G11" s="178"/>
      <c r="H11" s="179"/>
      <c r="I11" s="175" t="s">
        <v>106</v>
      </c>
      <c r="J11" s="175" t="s">
        <v>107</v>
      </c>
      <c r="K11" s="179"/>
      <c r="L11" s="178"/>
      <c r="M11" s="178"/>
      <c r="N11" s="179"/>
      <c r="O11" s="175" t="s">
        <v>106</v>
      </c>
      <c r="P11" s="180" t="s">
        <v>107</v>
      </c>
      <c r="Q11" s="179"/>
      <c r="R11" s="178"/>
      <c r="S11" s="168"/>
      <c r="T11" s="76"/>
    </row>
    <row r="12" spans="3:20" s="3" customFormat="1" ht="78.75" customHeight="1">
      <c r="C12" s="181"/>
      <c r="D12" s="181"/>
      <c r="E12" s="181"/>
      <c r="F12" s="181"/>
      <c r="G12" s="182"/>
      <c r="H12" s="183"/>
      <c r="I12" s="182"/>
      <c r="J12" s="182"/>
      <c r="K12" s="183"/>
      <c r="L12" s="182"/>
      <c r="M12" s="182"/>
      <c r="N12" s="183"/>
      <c r="O12" s="182"/>
      <c r="P12" s="180"/>
      <c r="Q12" s="183"/>
      <c r="R12" s="182"/>
      <c r="S12" s="168"/>
      <c r="T12" s="76"/>
    </row>
    <row r="13" spans="3:20" s="3" customFormat="1" ht="24" customHeight="1">
      <c r="C13" s="184">
        <v>1</v>
      </c>
      <c r="D13" s="184">
        <v>2</v>
      </c>
      <c r="E13" s="184">
        <v>3</v>
      </c>
      <c r="F13" s="184">
        <v>4</v>
      </c>
      <c r="G13" s="184">
        <v>5</v>
      </c>
      <c r="H13" s="184">
        <v>6</v>
      </c>
      <c r="I13" s="184">
        <v>7</v>
      </c>
      <c r="J13" s="184">
        <v>8</v>
      </c>
      <c r="K13" s="184">
        <v>9</v>
      </c>
      <c r="L13" s="184">
        <v>10</v>
      </c>
      <c r="M13" s="184">
        <v>11</v>
      </c>
      <c r="N13" s="184">
        <v>12</v>
      </c>
      <c r="O13" s="184">
        <v>13</v>
      </c>
      <c r="P13" s="184">
        <v>14</v>
      </c>
      <c r="Q13" s="184">
        <v>15</v>
      </c>
      <c r="R13" s="184">
        <v>16</v>
      </c>
      <c r="S13" s="19"/>
      <c r="T13" s="19"/>
    </row>
    <row r="14" spans="3:21" s="5" customFormat="1" ht="42.75" customHeight="1">
      <c r="C14" s="20" t="s">
        <v>413</v>
      </c>
      <c r="D14" s="20"/>
      <c r="E14" s="20"/>
      <c r="F14" s="22" t="s">
        <v>21</v>
      </c>
      <c r="G14" s="97"/>
      <c r="H14" s="4"/>
      <c r="I14" s="4"/>
      <c r="J14" s="4"/>
      <c r="K14" s="4"/>
      <c r="L14" s="4"/>
      <c r="M14" s="4"/>
      <c r="N14" s="4"/>
      <c r="O14" s="4"/>
      <c r="P14" s="4"/>
      <c r="Q14" s="4"/>
      <c r="R14" s="4"/>
      <c r="S14" s="4"/>
      <c r="T14" s="4"/>
      <c r="U14" s="12"/>
    </row>
    <row r="15" spans="3:21" s="6" customFormat="1" ht="39" customHeight="1">
      <c r="C15" s="25" t="s">
        <v>414</v>
      </c>
      <c r="D15" s="21"/>
      <c r="E15" s="21"/>
      <c r="F15" s="34" t="s">
        <v>21</v>
      </c>
      <c r="G15" s="101"/>
      <c r="H15" s="9"/>
      <c r="I15" s="9"/>
      <c r="J15" s="9" t="s">
        <v>112</v>
      </c>
      <c r="K15" s="9"/>
      <c r="L15" s="9"/>
      <c r="M15" s="9"/>
      <c r="N15" s="9"/>
      <c r="O15" s="9"/>
      <c r="P15" s="9"/>
      <c r="Q15" s="9"/>
      <c r="R15" s="9"/>
      <c r="S15" s="9"/>
      <c r="T15" s="9"/>
      <c r="U15" s="40"/>
    </row>
    <row r="16" spans="3:21" s="6" customFormat="1" ht="33" customHeight="1">
      <c r="C16" s="20" t="s">
        <v>26</v>
      </c>
      <c r="D16" s="20" t="s">
        <v>22</v>
      </c>
      <c r="E16" s="21"/>
      <c r="F16" s="186" t="s">
        <v>23</v>
      </c>
      <c r="G16" s="98">
        <f>G17+G21+G24</f>
        <v>26933536.48</v>
      </c>
      <c r="H16" s="98">
        <f aca="true" t="shared" si="0" ref="H16:R16">H17+H21+H24</f>
        <v>26933536.48</v>
      </c>
      <c r="I16" s="98">
        <f t="shared" si="0"/>
        <v>19799361.91</v>
      </c>
      <c r="J16" s="98">
        <f t="shared" si="0"/>
        <v>259436.32</v>
      </c>
      <c r="K16" s="98">
        <f t="shared" si="0"/>
        <v>0</v>
      </c>
      <c r="L16" s="98">
        <f t="shared" si="0"/>
        <v>291300</v>
      </c>
      <c r="M16" s="98">
        <f t="shared" si="0"/>
        <v>285100</v>
      </c>
      <c r="N16" s="98">
        <f t="shared" si="0"/>
        <v>6200</v>
      </c>
      <c r="O16" s="98">
        <f t="shared" si="0"/>
        <v>0</v>
      </c>
      <c r="P16" s="98">
        <f t="shared" si="0"/>
        <v>0</v>
      </c>
      <c r="Q16" s="98">
        <f t="shared" si="0"/>
        <v>285100</v>
      </c>
      <c r="R16" s="98">
        <f t="shared" si="0"/>
        <v>27224836.48</v>
      </c>
      <c r="S16" s="9"/>
      <c r="T16" s="9"/>
      <c r="U16" s="40"/>
    </row>
    <row r="17" spans="1:20" s="5" customFormat="1" ht="66" customHeight="1">
      <c r="A17" s="5">
        <v>1</v>
      </c>
      <c r="B17" s="5">
        <v>1</v>
      </c>
      <c r="C17" s="25" t="s">
        <v>415</v>
      </c>
      <c r="D17" s="25" t="s">
        <v>196</v>
      </c>
      <c r="E17" s="25" t="s">
        <v>123</v>
      </c>
      <c r="F17" s="35" t="s">
        <v>521</v>
      </c>
      <c r="G17" s="97">
        <f>H17+K17</f>
        <v>25485714.48</v>
      </c>
      <c r="H17" s="97">
        <f>H18+H20</f>
        <v>25485714.48</v>
      </c>
      <c r="I17" s="97">
        <f aca="true" t="shared" si="1" ref="I17:P17">I18+I20</f>
        <v>19109039.91</v>
      </c>
      <c r="J17" s="97">
        <f t="shared" si="1"/>
        <v>258500</v>
      </c>
      <c r="K17" s="97">
        <f>K18+K20</f>
        <v>0</v>
      </c>
      <c r="L17" s="97">
        <f>N17+Q17</f>
        <v>291300</v>
      </c>
      <c r="M17" s="97">
        <f t="shared" si="1"/>
        <v>285100</v>
      </c>
      <c r="N17" s="97">
        <f t="shared" si="1"/>
        <v>6200</v>
      </c>
      <c r="O17" s="97">
        <f t="shared" si="1"/>
        <v>0</v>
      </c>
      <c r="P17" s="97">
        <f t="shared" si="1"/>
        <v>0</v>
      </c>
      <c r="Q17" s="97">
        <f>Q18+Q20</f>
        <v>285100</v>
      </c>
      <c r="R17" s="98">
        <f aca="true" t="shared" si="2" ref="R17:R24">L17+G17</f>
        <v>25777014.48</v>
      </c>
      <c r="S17" s="9"/>
      <c r="T17" s="4"/>
    </row>
    <row r="18" spans="3:20" s="5" customFormat="1" ht="33" customHeight="1">
      <c r="C18" s="25"/>
      <c r="D18" s="25"/>
      <c r="E18" s="25"/>
      <c r="F18" s="36" t="s">
        <v>595</v>
      </c>
      <c r="G18" s="97">
        <f>H18+K18</f>
        <v>25283914.48</v>
      </c>
      <c r="H18" s="97">
        <f>27256400+250000+251627.38+88200+352800-2915112.9</f>
        <v>25283914.48</v>
      </c>
      <c r="I18" s="97">
        <f>16893752+165268.35+151394+1898625.56</f>
        <v>19109039.91</v>
      </c>
      <c r="J18" s="97">
        <v>258500</v>
      </c>
      <c r="K18" s="97"/>
      <c r="L18" s="97">
        <f>N18+Q18</f>
        <v>291300</v>
      </c>
      <c r="M18" s="97">
        <f>180000+249000-16400-127500</f>
        <v>285100</v>
      </c>
      <c r="N18" s="97">
        <f>6200</f>
        <v>6200</v>
      </c>
      <c r="O18" s="97"/>
      <c r="P18" s="97"/>
      <c r="Q18" s="97">
        <f>M18</f>
        <v>285100</v>
      </c>
      <c r="R18" s="98">
        <f t="shared" si="2"/>
        <v>25575214.48</v>
      </c>
      <c r="S18" s="9"/>
      <c r="T18" s="4"/>
    </row>
    <row r="19" spans="3:20" s="5" customFormat="1" ht="38.25" customHeight="1" hidden="1">
      <c r="C19" s="25"/>
      <c r="D19" s="25"/>
      <c r="E19" s="25"/>
      <c r="F19" s="36" t="s">
        <v>646</v>
      </c>
      <c r="G19" s="97">
        <f aca="true" t="shared" si="3" ref="G19:G27">H19+K19</f>
        <v>0</v>
      </c>
      <c r="H19" s="97">
        <f>5000000-5000000</f>
        <v>0</v>
      </c>
      <c r="I19" s="97"/>
      <c r="J19" s="97"/>
      <c r="K19" s="97"/>
      <c r="L19" s="97">
        <f>N19+Q19</f>
        <v>0</v>
      </c>
      <c r="M19" s="97"/>
      <c r="N19" s="97"/>
      <c r="O19" s="97"/>
      <c r="P19" s="97"/>
      <c r="Q19" s="97">
        <f>M19</f>
        <v>0</v>
      </c>
      <c r="R19" s="98">
        <f t="shared" si="2"/>
        <v>0</v>
      </c>
      <c r="S19" s="4"/>
      <c r="T19" s="4"/>
    </row>
    <row r="20" spans="3:20" s="5" customFormat="1" ht="52.5" customHeight="1">
      <c r="C20" s="25"/>
      <c r="D20" s="25"/>
      <c r="E20" s="25"/>
      <c r="F20" s="36" t="s">
        <v>18</v>
      </c>
      <c r="G20" s="97">
        <f t="shared" si="3"/>
        <v>201800</v>
      </c>
      <c r="H20" s="97">
        <f>149300+32500+20000</f>
        <v>201800</v>
      </c>
      <c r="I20" s="97"/>
      <c r="J20" s="97"/>
      <c r="K20" s="97"/>
      <c r="L20" s="97">
        <f>N20+Q20</f>
        <v>0</v>
      </c>
      <c r="M20" s="97"/>
      <c r="N20" s="97"/>
      <c r="O20" s="97"/>
      <c r="P20" s="97"/>
      <c r="Q20" s="97">
        <f>M20</f>
        <v>0</v>
      </c>
      <c r="R20" s="98">
        <f t="shared" si="2"/>
        <v>201800</v>
      </c>
      <c r="S20" s="4"/>
      <c r="T20" s="4"/>
    </row>
    <row r="21" spans="3:20" s="6" customFormat="1" ht="29.25" customHeight="1">
      <c r="C21" s="25" t="s">
        <v>432</v>
      </c>
      <c r="D21" s="25" t="s">
        <v>122</v>
      </c>
      <c r="E21" s="25" t="s">
        <v>134</v>
      </c>
      <c r="F21" s="35" t="s">
        <v>433</v>
      </c>
      <c r="G21" s="97">
        <f t="shared" si="3"/>
        <v>65450</v>
      </c>
      <c r="H21" s="149">
        <f>SUM(H22:H23)</f>
        <v>65450</v>
      </c>
      <c r="I21" s="149">
        <f>SUM(I22:I23)</f>
        <v>0</v>
      </c>
      <c r="J21" s="149">
        <f>SUM(J22:J23)</f>
        <v>0</v>
      </c>
      <c r="K21" s="149">
        <f>SUM(K22:K23)</f>
        <v>0</v>
      </c>
      <c r="L21" s="97">
        <f aca="true" t="shared" si="4" ref="L21:L42">N21+Q21</f>
        <v>0</v>
      </c>
      <c r="M21" s="97"/>
      <c r="N21" s="193">
        <f>SUM(N22:N23)</f>
        <v>0</v>
      </c>
      <c r="O21" s="193">
        <f>SUM(O22:O23)</f>
        <v>0</v>
      </c>
      <c r="P21" s="193">
        <f>SUM(P22:P23)</f>
        <v>0</v>
      </c>
      <c r="Q21" s="97">
        <f aca="true" t="shared" si="5" ref="Q21:Q42">M21</f>
        <v>0</v>
      </c>
      <c r="R21" s="98">
        <f t="shared" si="2"/>
        <v>65450</v>
      </c>
      <c r="S21" s="194"/>
      <c r="T21" s="9"/>
    </row>
    <row r="22" spans="3:20" s="6" customFormat="1" ht="52.5" customHeight="1">
      <c r="C22" s="10"/>
      <c r="D22" s="10"/>
      <c r="E22" s="10"/>
      <c r="F22" s="26" t="s">
        <v>538</v>
      </c>
      <c r="G22" s="97">
        <f t="shared" si="3"/>
        <v>8000</v>
      </c>
      <c r="H22" s="97">
        <f>10000-2000</f>
        <v>8000</v>
      </c>
      <c r="I22" s="101"/>
      <c r="J22" s="101"/>
      <c r="K22" s="101"/>
      <c r="L22" s="97">
        <f t="shared" si="4"/>
        <v>0</v>
      </c>
      <c r="M22" s="101"/>
      <c r="N22" s="145"/>
      <c r="O22" s="101"/>
      <c r="P22" s="101"/>
      <c r="Q22" s="97">
        <f t="shared" si="5"/>
        <v>0</v>
      </c>
      <c r="R22" s="98">
        <f t="shared" si="2"/>
        <v>8000</v>
      </c>
      <c r="S22" s="9"/>
      <c r="T22" s="9"/>
    </row>
    <row r="23" spans="3:21" s="6" customFormat="1" ht="25.5" customHeight="1">
      <c r="C23" s="10"/>
      <c r="D23" s="10"/>
      <c r="E23" s="10"/>
      <c r="F23" s="26" t="s">
        <v>82</v>
      </c>
      <c r="G23" s="97">
        <f t="shared" si="3"/>
        <v>57450</v>
      </c>
      <c r="H23" s="97">
        <f>235800-67800-110550</f>
        <v>57450</v>
      </c>
      <c r="I23" s="101"/>
      <c r="J23" s="97"/>
      <c r="K23" s="101"/>
      <c r="L23" s="97">
        <f t="shared" si="4"/>
        <v>0</v>
      </c>
      <c r="M23" s="101"/>
      <c r="N23" s="145"/>
      <c r="O23" s="101"/>
      <c r="P23" s="101"/>
      <c r="Q23" s="97">
        <f t="shared" si="5"/>
        <v>0</v>
      </c>
      <c r="R23" s="98">
        <f t="shared" si="2"/>
        <v>57450</v>
      </c>
      <c r="S23" s="9"/>
      <c r="T23" s="9"/>
      <c r="U23" s="27"/>
    </row>
    <row r="24" spans="3:21" s="29" customFormat="1" ht="38.25" customHeight="1">
      <c r="C24" s="20" t="s">
        <v>642</v>
      </c>
      <c r="D24" s="20" t="s">
        <v>643</v>
      </c>
      <c r="E24" s="20" t="s">
        <v>126</v>
      </c>
      <c r="F24" s="22" t="s">
        <v>647</v>
      </c>
      <c r="G24" s="98">
        <f t="shared" si="3"/>
        <v>1382372</v>
      </c>
      <c r="H24" s="98">
        <v>1382372</v>
      </c>
      <c r="I24" s="98">
        <v>690322</v>
      </c>
      <c r="J24" s="98">
        <v>936.32</v>
      </c>
      <c r="K24" s="147"/>
      <c r="L24" s="98">
        <f t="shared" si="4"/>
        <v>0</v>
      </c>
      <c r="M24" s="147"/>
      <c r="N24" s="156"/>
      <c r="O24" s="147"/>
      <c r="P24" s="147"/>
      <c r="Q24" s="97">
        <f t="shared" si="5"/>
        <v>0</v>
      </c>
      <c r="R24" s="98">
        <f t="shared" si="2"/>
        <v>1382372</v>
      </c>
      <c r="S24" s="47"/>
      <c r="T24" s="47"/>
      <c r="U24" s="159"/>
    </row>
    <row r="25" spans="3:21" s="6" customFormat="1" ht="36" customHeight="1">
      <c r="C25" s="20" t="s">
        <v>29</v>
      </c>
      <c r="D25" s="20" t="s">
        <v>30</v>
      </c>
      <c r="E25" s="21"/>
      <c r="F25" s="22" t="s">
        <v>31</v>
      </c>
      <c r="G25" s="98">
        <f>G26+G28+G30+G32</f>
        <v>290900</v>
      </c>
      <c r="H25" s="98">
        <f aca="true" t="shared" si="6" ref="H25:R25">H26+H28+H30+H32</f>
        <v>290900</v>
      </c>
      <c r="I25" s="98">
        <f t="shared" si="6"/>
        <v>0</v>
      </c>
      <c r="J25" s="98">
        <f t="shared" si="6"/>
        <v>0</v>
      </c>
      <c r="K25" s="98">
        <f t="shared" si="6"/>
        <v>0</v>
      </c>
      <c r="L25" s="98">
        <f t="shared" si="6"/>
        <v>0</v>
      </c>
      <c r="M25" s="98">
        <f t="shared" si="6"/>
        <v>0</v>
      </c>
      <c r="N25" s="98">
        <f t="shared" si="6"/>
        <v>0</v>
      </c>
      <c r="O25" s="98">
        <f t="shared" si="6"/>
        <v>0</v>
      </c>
      <c r="P25" s="98">
        <f t="shared" si="6"/>
        <v>0</v>
      </c>
      <c r="Q25" s="98">
        <f t="shared" si="5"/>
        <v>0</v>
      </c>
      <c r="R25" s="98">
        <f t="shared" si="6"/>
        <v>290900</v>
      </c>
      <c r="S25" s="9"/>
      <c r="T25" s="9"/>
      <c r="U25" s="27"/>
    </row>
    <row r="26" spans="3:21" s="6" customFormat="1" ht="37.5" customHeight="1" hidden="1">
      <c r="C26" s="99" t="s">
        <v>0</v>
      </c>
      <c r="D26" s="99" t="s">
        <v>383</v>
      </c>
      <c r="E26" s="99" t="s">
        <v>124</v>
      </c>
      <c r="F26" s="93" t="s">
        <v>323</v>
      </c>
      <c r="G26" s="97">
        <f t="shared" si="3"/>
        <v>0</v>
      </c>
      <c r="H26" s="97">
        <f>H27</f>
        <v>0</v>
      </c>
      <c r="I26" s="97">
        <f>I27</f>
        <v>0</v>
      </c>
      <c r="J26" s="97">
        <f>J27</f>
        <v>0</v>
      </c>
      <c r="K26" s="97">
        <f>K27</f>
        <v>0</v>
      </c>
      <c r="L26" s="97">
        <f t="shared" si="4"/>
        <v>0</v>
      </c>
      <c r="M26" s="101"/>
      <c r="N26" s="145"/>
      <c r="O26" s="101"/>
      <c r="P26" s="101"/>
      <c r="Q26" s="97">
        <f t="shared" si="5"/>
        <v>0</v>
      </c>
      <c r="R26" s="98">
        <f aca="true" t="shared" si="7" ref="R26:R38">L26+G26</f>
        <v>0</v>
      </c>
      <c r="S26" s="9"/>
      <c r="T26" s="9"/>
      <c r="U26" s="27"/>
    </row>
    <row r="27" spans="3:21" s="6" customFormat="1" ht="96.75" customHeight="1" hidden="1">
      <c r="C27" s="99"/>
      <c r="D27" s="99"/>
      <c r="E27" s="99"/>
      <c r="F27" s="36" t="s">
        <v>1</v>
      </c>
      <c r="G27" s="97">
        <f t="shared" si="3"/>
        <v>0</v>
      </c>
      <c r="H27" s="97"/>
      <c r="I27" s="101"/>
      <c r="J27" s="101"/>
      <c r="K27" s="101"/>
      <c r="L27" s="97">
        <f t="shared" si="4"/>
        <v>0</v>
      </c>
      <c r="M27" s="101"/>
      <c r="N27" s="145"/>
      <c r="O27" s="101"/>
      <c r="P27" s="101"/>
      <c r="Q27" s="97">
        <f t="shared" si="5"/>
        <v>0</v>
      </c>
      <c r="R27" s="98">
        <f t="shared" si="7"/>
        <v>0</v>
      </c>
      <c r="S27" s="9"/>
      <c r="T27" s="9"/>
      <c r="U27" s="27"/>
    </row>
    <row r="28" spans="1:20" s="5" customFormat="1" ht="41.25" customHeight="1" hidden="1">
      <c r="A28" s="13">
        <v>11</v>
      </c>
      <c r="B28" s="5">
        <v>4</v>
      </c>
      <c r="C28" s="25" t="s">
        <v>506</v>
      </c>
      <c r="D28" s="25" t="s">
        <v>215</v>
      </c>
      <c r="E28" s="25" t="s">
        <v>217</v>
      </c>
      <c r="F28" s="28" t="s">
        <v>216</v>
      </c>
      <c r="G28" s="97">
        <f aca="true" t="shared" si="8" ref="G28:G34">H28+K28</f>
        <v>0</v>
      </c>
      <c r="H28" s="149">
        <f>H29</f>
        <v>0</v>
      </c>
      <c r="I28" s="149">
        <f aca="true" t="shared" si="9" ref="I28:P28">I29</f>
        <v>0</v>
      </c>
      <c r="J28" s="149">
        <f t="shared" si="9"/>
        <v>0</v>
      </c>
      <c r="K28" s="149">
        <f t="shared" si="9"/>
        <v>0</v>
      </c>
      <c r="L28" s="97">
        <f t="shared" si="4"/>
        <v>0</v>
      </c>
      <c r="M28" s="149">
        <f t="shared" si="9"/>
        <v>0</v>
      </c>
      <c r="N28" s="149">
        <f t="shared" si="9"/>
        <v>0</v>
      </c>
      <c r="O28" s="149">
        <f t="shared" si="9"/>
        <v>0</v>
      </c>
      <c r="P28" s="149">
        <f t="shared" si="9"/>
        <v>0</v>
      </c>
      <c r="Q28" s="97">
        <f t="shared" si="5"/>
        <v>0</v>
      </c>
      <c r="R28" s="98">
        <f t="shared" si="7"/>
        <v>0</v>
      </c>
      <c r="S28" s="4"/>
      <c r="T28" s="4"/>
    </row>
    <row r="29" spans="1:20" s="6" customFormat="1" ht="12" customHeight="1" hidden="1">
      <c r="A29" s="29"/>
      <c r="C29" s="10"/>
      <c r="D29" s="10"/>
      <c r="E29" s="10"/>
      <c r="F29" s="30" t="s">
        <v>502</v>
      </c>
      <c r="G29" s="97">
        <f t="shared" si="8"/>
        <v>0</v>
      </c>
      <c r="H29" s="101"/>
      <c r="I29" s="101"/>
      <c r="J29" s="101"/>
      <c r="K29" s="101"/>
      <c r="L29" s="97">
        <f t="shared" si="4"/>
        <v>0</v>
      </c>
      <c r="M29" s="97"/>
      <c r="N29" s="145"/>
      <c r="O29" s="101"/>
      <c r="P29" s="101"/>
      <c r="Q29" s="97">
        <f t="shared" si="5"/>
        <v>0</v>
      </c>
      <c r="R29" s="98">
        <f t="shared" si="7"/>
        <v>0</v>
      </c>
      <c r="S29" s="9"/>
      <c r="T29" s="4"/>
    </row>
    <row r="30" spans="3:20" s="5" customFormat="1" ht="31.5" customHeight="1">
      <c r="C30" s="25" t="s">
        <v>507</v>
      </c>
      <c r="D30" s="25" t="s">
        <v>218</v>
      </c>
      <c r="E30" s="25" t="s">
        <v>125</v>
      </c>
      <c r="F30" s="31" t="s">
        <v>84</v>
      </c>
      <c r="G30" s="97">
        <f t="shared" si="8"/>
        <v>11000</v>
      </c>
      <c r="H30" s="149">
        <f>H31</f>
        <v>11000</v>
      </c>
      <c r="I30" s="149">
        <f>I31</f>
        <v>0</v>
      </c>
      <c r="J30" s="149">
        <f>J31</f>
        <v>0</v>
      </c>
      <c r="K30" s="149">
        <f>K31</f>
        <v>0</v>
      </c>
      <c r="L30" s="97">
        <f t="shared" si="4"/>
        <v>0</v>
      </c>
      <c r="M30" s="149">
        <f>M31</f>
        <v>0</v>
      </c>
      <c r="N30" s="149">
        <f>N31</f>
        <v>0</v>
      </c>
      <c r="O30" s="149">
        <f>O31</f>
        <v>0</v>
      </c>
      <c r="P30" s="149">
        <f>P31</f>
        <v>0</v>
      </c>
      <c r="Q30" s="97">
        <f t="shared" si="5"/>
        <v>0</v>
      </c>
      <c r="R30" s="98">
        <f t="shared" si="7"/>
        <v>11000</v>
      </c>
      <c r="S30" s="4"/>
      <c r="T30" s="4"/>
    </row>
    <row r="31" spans="3:20" s="5" customFormat="1" ht="43.5" customHeight="1">
      <c r="C31" s="25"/>
      <c r="D31" s="25"/>
      <c r="E31" s="25"/>
      <c r="F31" s="32" t="s">
        <v>86</v>
      </c>
      <c r="G31" s="97">
        <f t="shared" si="8"/>
        <v>11000</v>
      </c>
      <c r="H31" s="97">
        <v>11000</v>
      </c>
      <c r="I31" s="97"/>
      <c r="J31" s="97"/>
      <c r="K31" s="97"/>
      <c r="L31" s="97">
        <f t="shared" si="4"/>
        <v>0</v>
      </c>
      <c r="M31" s="97"/>
      <c r="N31" s="146"/>
      <c r="O31" s="97"/>
      <c r="P31" s="97"/>
      <c r="Q31" s="97">
        <f t="shared" si="5"/>
        <v>0</v>
      </c>
      <c r="R31" s="98">
        <f t="shared" si="7"/>
        <v>11000</v>
      </c>
      <c r="S31" s="4"/>
      <c r="T31" s="4"/>
    </row>
    <row r="32" spans="3:20" s="5" customFormat="1" ht="30" customHeight="1">
      <c r="C32" s="25" t="s">
        <v>434</v>
      </c>
      <c r="D32" s="25" t="s">
        <v>435</v>
      </c>
      <c r="E32" s="25" t="s">
        <v>124</v>
      </c>
      <c r="F32" s="185" t="s">
        <v>436</v>
      </c>
      <c r="G32" s="97">
        <f t="shared" si="8"/>
        <v>279900</v>
      </c>
      <c r="H32" s="149">
        <f>H34+H33</f>
        <v>279900</v>
      </c>
      <c r="I32" s="149">
        <f aca="true" t="shared" si="10" ref="I32:P32">I34+I33</f>
        <v>0</v>
      </c>
      <c r="J32" s="149">
        <f t="shared" si="10"/>
        <v>0</v>
      </c>
      <c r="K32" s="149">
        <f t="shared" si="10"/>
        <v>0</v>
      </c>
      <c r="L32" s="97">
        <f t="shared" si="4"/>
        <v>0</v>
      </c>
      <c r="M32" s="149">
        <f t="shared" si="10"/>
        <v>0</v>
      </c>
      <c r="N32" s="149">
        <f t="shared" si="10"/>
        <v>0</v>
      </c>
      <c r="O32" s="149">
        <f t="shared" si="10"/>
        <v>0</v>
      </c>
      <c r="P32" s="149">
        <f t="shared" si="10"/>
        <v>0</v>
      </c>
      <c r="Q32" s="97">
        <f t="shared" si="5"/>
        <v>0</v>
      </c>
      <c r="R32" s="98">
        <f t="shared" si="7"/>
        <v>279900</v>
      </c>
      <c r="S32" s="4"/>
      <c r="T32" s="4"/>
    </row>
    <row r="33" spans="3:20" s="5" customFormat="1" ht="56.25" customHeight="1">
      <c r="C33" s="25"/>
      <c r="D33" s="25"/>
      <c r="E33" s="25"/>
      <c r="F33" s="139" t="s">
        <v>85</v>
      </c>
      <c r="G33" s="97">
        <f t="shared" si="8"/>
        <v>250000</v>
      </c>
      <c r="H33" s="149">
        <f>200000+50000</f>
        <v>250000</v>
      </c>
      <c r="I33" s="149"/>
      <c r="J33" s="149"/>
      <c r="K33" s="149"/>
      <c r="L33" s="97">
        <f t="shared" si="4"/>
        <v>0</v>
      </c>
      <c r="M33" s="149"/>
      <c r="N33" s="149"/>
      <c r="O33" s="149"/>
      <c r="P33" s="149"/>
      <c r="Q33" s="97"/>
      <c r="R33" s="98">
        <f t="shared" si="7"/>
        <v>250000</v>
      </c>
      <c r="S33" s="4"/>
      <c r="T33" s="4"/>
    </row>
    <row r="34" spans="3:20" s="5" customFormat="1" ht="31.5" customHeight="1">
      <c r="C34" s="25"/>
      <c r="D34" s="25"/>
      <c r="E34" s="25"/>
      <c r="F34" s="26" t="s">
        <v>82</v>
      </c>
      <c r="G34" s="97">
        <f t="shared" si="8"/>
        <v>29900</v>
      </c>
      <c r="H34" s="97">
        <f>29800+100</f>
        <v>29900</v>
      </c>
      <c r="I34" s="97"/>
      <c r="J34" s="97"/>
      <c r="K34" s="97"/>
      <c r="L34" s="97">
        <f t="shared" si="4"/>
        <v>0</v>
      </c>
      <c r="M34" s="97"/>
      <c r="N34" s="146"/>
      <c r="O34" s="97"/>
      <c r="P34" s="97"/>
      <c r="Q34" s="97">
        <f t="shared" si="5"/>
        <v>0</v>
      </c>
      <c r="R34" s="98">
        <f t="shared" si="7"/>
        <v>29900</v>
      </c>
      <c r="S34" s="4"/>
      <c r="T34" s="4"/>
    </row>
    <row r="35" spans="3:20" s="5" customFormat="1" ht="31.5" customHeight="1">
      <c r="C35" s="20" t="s">
        <v>69</v>
      </c>
      <c r="D35" s="20" t="s">
        <v>47</v>
      </c>
      <c r="E35" s="20"/>
      <c r="F35" s="22" t="s">
        <v>52</v>
      </c>
      <c r="G35" s="98">
        <f>G36</f>
        <v>28073.899999999994</v>
      </c>
      <c r="H35" s="98">
        <f aca="true" t="shared" si="11" ref="H35:Q35">H36</f>
        <v>28073.899999999994</v>
      </c>
      <c r="I35" s="98">
        <f t="shared" si="11"/>
        <v>0</v>
      </c>
      <c r="J35" s="98">
        <f t="shared" si="11"/>
        <v>0</v>
      </c>
      <c r="K35" s="98">
        <f t="shared" si="11"/>
        <v>0</v>
      </c>
      <c r="L35" s="98">
        <f t="shared" si="11"/>
        <v>0</v>
      </c>
      <c r="M35" s="98">
        <f t="shared" si="11"/>
        <v>0</v>
      </c>
      <c r="N35" s="98">
        <f t="shared" si="11"/>
        <v>0</v>
      </c>
      <c r="O35" s="98">
        <f t="shared" si="11"/>
        <v>0</v>
      </c>
      <c r="P35" s="98">
        <f t="shared" si="11"/>
        <v>0</v>
      </c>
      <c r="Q35" s="98">
        <f t="shared" si="11"/>
        <v>0</v>
      </c>
      <c r="R35" s="98">
        <f t="shared" si="7"/>
        <v>28073.899999999994</v>
      </c>
      <c r="S35" s="4"/>
      <c r="T35" s="4"/>
    </row>
    <row r="36" spans="3:20" s="5" customFormat="1" ht="29.25" customHeight="1">
      <c r="C36" s="25" t="s">
        <v>424</v>
      </c>
      <c r="D36" s="25" t="s">
        <v>221</v>
      </c>
      <c r="E36" s="25" t="s">
        <v>171</v>
      </c>
      <c r="F36" s="35" t="s">
        <v>222</v>
      </c>
      <c r="G36" s="97">
        <f aca="true" t="shared" si="12" ref="G36:G42">H36+K36</f>
        <v>28073.899999999994</v>
      </c>
      <c r="H36" s="149">
        <f>SUM(H37:H38)</f>
        <v>28073.899999999994</v>
      </c>
      <c r="I36" s="149">
        <f aca="true" t="shared" si="13" ref="I36:P36">SUM(I37:I38)</f>
        <v>0</v>
      </c>
      <c r="J36" s="149">
        <f t="shared" si="13"/>
        <v>0</v>
      </c>
      <c r="K36" s="149">
        <f t="shared" si="13"/>
        <v>0</v>
      </c>
      <c r="L36" s="97">
        <f t="shared" si="4"/>
        <v>0</v>
      </c>
      <c r="M36" s="149">
        <f t="shared" si="13"/>
        <v>0</v>
      </c>
      <c r="N36" s="149">
        <f t="shared" si="13"/>
        <v>0</v>
      </c>
      <c r="O36" s="149">
        <f t="shared" si="13"/>
        <v>0</v>
      </c>
      <c r="P36" s="149">
        <f t="shared" si="13"/>
        <v>0</v>
      </c>
      <c r="Q36" s="97">
        <f t="shared" si="5"/>
        <v>0</v>
      </c>
      <c r="R36" s="98">
        <f t="shared" si="7"/>
        <v>28073.899999999994</v>
      </c>
      <c r="S36" s="4"/>
      <c r="T36" s="4"/>
    </row>
    <row r="37" spans="3:20" s="5" customFormat="1" ht="39.75" customHeight="1">
      <c r="C37" s="25"/>
      <c r="D37" s="25"/>
      <c r="E37" s="25"/>
      <c r="F37" s="36" t="s">
        <v>263</v>
      </c>
      <c r="G37" s="97">
        <f t="shared" si="12"/>
        <v>15930</v>
      </c>
      <c r="H37" s="149">
        <f>30100-14170</f>
        <v>15930</v>
      </c>
      <c r="I37" s="149"/>
      <c r="J37" s="149"/>
      <c r="K37" s="149"/>
      <c r="L37" s="97">
        <f t="shared" si="4"/>
        <v>0</v>
      </c>
      <c r="M37" s="149"/>
      <c r="N37" s="149"/>
      <c r="O37" s="149"/>
      <c r="P37" s="149"/>
      <c r="Q37" s="97">
        <f t="shared" si="5"/>
        <v>0</v>
      </c>
      <c r="R37" s="98">
        <f t="shared" si="7"/>
        <v>15930</v>
      </c>
      <c r="S37" s="4"/>
      <c r="T37" s="4"/>
    </row>
    <row r="38" spans="3:20" s="5" customFormat="1" ht="48.75" customHeight="1">
      <c r="C38" s="10"/>
      <c r="D38" s="10"/>
      <c r="E38" s="25"/>
      <c r="F38" s="36" t="s">
        <v>83</v>
      </c>
      <c r="G38" s="97">
        <f t="shared" si="12"/>
        <v>12143.899999999994</v>
      </c>
      <c r="H38" s="97">
        <f>85600-73456.1</f>
        <v>12143.899999999994</v>
      </c>
      <c r="I38" s="97"/>
      <c r="J38" s="97"/>
      <c r="K38" s="97"/>
      <c r="L38" s="97">
        <f t="shared" si="4"/>
        <v>0</v>
      </c>
      <c r="M38" s="101"/>
      <c r="N38" s="145"/>
      <c r="O38" s="101"/>
      <c r="P38" s="101"/>
      <c r="Q38" s="97">
        <f t="shared" si="5"/>
        <v>0</v>
      </c>
      <c r="R38" s="98">
        <f t="shared" si="7"/>
        <v>12143.899999999994</v>
      </c>
      <c r="S38" s="9"/>
      <c r="T38" s="9"/>
    </row>
    <row r="39" spans="3:20" s="5" customFormat="1" ht="35.25" customHeight="1" hidden="1">
      <c r="C39" s="20" t="s">
        <v>32</v>
      </c>
      <c r="D39" s="20" t="s">
        <v>33</v>
      </c>
      <c r="E39" s="20"/>
      <c r="F39" s="33" t="s">
        <v>34</v>
      </c>
      <c r="G39" s="97">
        <f>G40</f>
        <v>0</v>
      </c>
      <c r="H39" s="97">
        <f aca="true" t="shared" si="14" ref="H39:R39">H40</f>
        <v>0</v>
      </c>
      <c r="I39" s="97">
        <f t="shared" si="14"/>
        <v>0</v>
      </c>
      <c r="J39" s="97">
        <f t="shared" si="14"/>
        <v>0</v>
      </c>
      <c r="K39" s="97">
        <f t="shared" si="14"/>
        <v>0</v>
      </c>
      <c r="L39" s="97">
        <f t="shared" si="14"/>
        <v>0</v>
      </c>
      <c r="M39" s="97">
        <f t="shared" si="14"/>
        <v>0</v>
      </c>
      <c r="N39" s="97">
        <f t="shared" si="14"/>
        <v>0</v>
      </c>
      <c r="O39" s="97">
        <f t="shared" si="14"/>
        <v>0</v>
      </c>
      <c r="P39" s="97">
        <f t="shared" si="14"/>
        <v>0</v>
      </c>
      <c r="Q39" s="97">
        <f t="shared" si="5"/>
        <v>0</v>
      </c>
      <c r="R39" s="97">
        <f t="shared" si="14"/>
        <v>0</v>
      </c>
      <c r="S39" s="9"/>
      <c r="T39" s="9"/>
    </row>
    <row r="40" spans="3:20" s="5" customFormat="1" ht="26.25" customHeight="1" hidden="1">
      <c r="C40" s="25" t="s">
        <v>505</v>
      </c>
      <c r="D40" s="25" t="s">
        <v>219</v>
      </c>
      <c r="E40" s="25" t="s">
        <v>122</v>
      </c>
      <c r="F40" s="37" t="s">
        <v>220</v>
      </c>
      <c r="G40" s="97">
        <f t="shared" si="12"/>
        <v>0</v>
      </c>
      <c r="H40" s="149">
        <f>SUM(H41:H42)</f>
        <v>0</v>
      </c>
      <c r="I40" s="149">
        <f>SUM(I41:I42)</f>
        <v>0</v>
      </c>
      <c r="J40" s="149">
        <f>SUM(J41:J42)</f>
        <v>0</v>
      </c>
      <c r="K40" s="149">
        <f>SUM(K41:K42)</f>
        <v>0</v>
      </c>
      <c r="L40" s="97">
        <f t="shared" si="4"/>
        <v>0</v>
      </c>
      <c r="M40" s="97"/>
      <c r="N40" s="193">
        <f>SUM(N41:N42)</f>
        <v>0</v>
      </c>
      <c r="O40" s="193">
        <f>SUM(O41:O42)</f>
        <v>0</v>
      </c>
      <c r="P40" s="193">
        <f>SUM(P41:P42)</f>
        <v>0</v>
      </c>
      <c r="Q40" s="97">
        <f t="shared" si="5"/>
        <v>0</v>
      </c>
      <c r="R40" s="98">
        <f>L40+G40</f>
        <v>0</v>
      </c>
      <c r="S40" s="4"/>
      <c r="T40" s="4"/>
    </row>
    <row r="41" spans="3:20" s="5" customFormat="1" ht="43.5" customHeight="1" hidden="1">
      <c r="C41" s="25"/>
      <c r="D41" s="25"/>
      <c r="E41" s="25"/>
      <c r="F41" s="38" t="s">
        <v>517</v>
      </c>
      <c r="G41" s="97">
        <f t="shared" si="12"/>
        <v>0</v>
      </c>
      <c r="H41" s="97"/>
      <c r="I41" s="97"/>
      <c r="J41" s="97"/>
      <c r="K41" s="97"/>
      <c r="L41" s="97">
        <f t="shared" si="4"/>
        <v>0</v>
      </c>
      <c r="M41" s="97"/>
      <c r="N41" s="97"/>
      <c r="O41" s="97"/>
      <c r="P41" s="97"/>
      <c r="Q41" s="97">
        <f t="shared" si="5"/>
        <v>0</v>
      </c>
      <c r="R41" s="98">
        <f>L41+G41</f>
        <v>0</v>
      </c>
      <c r="S41" s="4"/>
      <c r="T41" s="4"/>
    </row>
    <row r="42" spans="3:20" s="5" customFormat="1" ht="39.75" customHeight="1" hidden="1">
      <c r="C42" s="25"/>
      <c r="D42" s="25"/>
      <c r="E42" s="25"/>
      <c r="F42" s="38" t="s">
        <v>176</v>
      </c>
      <c r="G42" s="97">
        <f t="shared" si="12"/>
        <v>0</v>
      </c>
      <c r="H42" s="97"/>
      <c r="I42" s="97"/>
      <c r="J42" s="97"/>
      <c r="K42" s="97"/>
      <c r="L42" s="101">
        <f t="shared" si="4"/>
        <v>0</v>
      </c>
      <c r="M42" s="101"/>
      <c r="N42" s="101"/>
      <c r="O42" s="101"/>
      <c r="P42" s="101"/>
      <c r="Q42" s="97">
        <f t="shared" si="5"/>
        <v>0</v>
      </c>
      <c r="R42" s="98">
        <f>L42+G42</f>
        <v>0</v>
      </c>
      <c r="S42" s="9"/>
      <c r="T42" s="9"/>
    </row>
    <row r="43" spans="3:23" s="5" customFormat="1" ht="31.5" customHeight="1">
      <c r="C43" s="25"/>
      <c r="D43" s="25"/>
      <c r="E43" s="25"/>
      <c r="F43" s="33" t="s">
        <v>100</v>
      </c>
      <c r="G43" s="98">
        <f>G17+G21+G28+G30+G32+G36+G40+G26+G24</f>
        <v>27252510.38</v>
      </c>
      <c r="H43" s="98">
        <f aca="true" t="shared" si="15" ref="H43:R43">H17+H21+H28+H30+H32+H36+H40+H26+H24</f>
        <v>27252510.38</v>
      </c>
      <c r="I43" s="98">
        <f t="shared" si="15"/>
        <v>19799361.91</v>
      </c>
      <c r="J43" s="98">
        <f t="shared" si="15"/>
        <v>259436.32</v>
      </c>
      <c r="K43" s="98">
        <f t="shared" si="15"/>
        <v>0</v>
      </c>
      <c r="L43" s="98">
        <f t="shared" si="15"/>
        <v>291300</v>
      </c>
      <c r="M43" s="98">
        <f t="shared" si="15"/>
        <v>285100</v>
      </c>
      <c r="N43" s="98">
        <f t="shared" si="15"/>
        <v>6200</v>
      </c>
      <c r="O43" s="98">
        <f t="shared" si="15"/>
        <v>0</v>
      </c>
      <c r="P43" s="98">
        <f t="shared" si="15"/>
        <v>0</v>
      </c>
      <c r="Q43" s="98">
        <f t="shared" si="15"/>
        <v>285100</v>
      </c>
      <c r="R43" s="98">
        <f t="shared" si="15"/>
        <v>27543810.38</v>
      </c>
      <c r="S43" s="66"/>
      <c r="T43" s="23"/>
      <c r="U43" s="12"/>
      <c r="V43" s="12"/>
      <c r="W43" s="12"/>
    </row>
    <row r="44" spans="3:21" s="5" customFormat="1" ht="45.75" customHeight="1">
      <c r="C44" s="20" t="s">
        <v>198</v>
      </c>
      <c r="D44" s="20"/>
      <c r="E44" s="20"/>
      <c r="F44" s="22" t="s">
        <v>24</v>
      </c>
      <c r="G44" s="97"/>
      <c r="H44" s="97"/>
      <c r="I44" s="97"/>
      <c r="J44" s="97"/>
      <c r="K44" s="97"/>
      <c r="L44" s="97"/>
      <c r="M44" s="97"/>
      <c r="N44" s="97"/>
      <c r="O44" s="97"/>
      <c r="P44" s="97"/>
      <c r="Q44" s="97"/>
      <c r="R44" s="98"/>
      <c r="S44" s="4"/>
      <c r="T44" s="4"/>
      <c r="U44" s="12"/>
    </row>
    <row r="45" spans="3:20" s="6" customFormat="1" ht="45.75" customHeight="1">
      <c r="C45" s="25" t="s">
        <v>199</v>
      </c>
      <c r="D45" s="21"/>
      <c r="E45" s="21"/>
      <c r="F45" s="34" t="s">
        <v>24</v>
      </c>
      <c r="G45" s="101"/>
      <c r="H45" s="101"/>
      <c r="I45" s="101"/>
      <c r="J45" s="101"/>
      <c r="K45" s="101"/>
      <c r="L45" s="101"/>
      <c r="M45" s="101"/>
      <c r="N45" s="101"/>
      <c r="O45" s="101"/>
      <c r="P45" s="101"/>
      <c r="Q45" s="101"/>
      <c r="R45" s="147"/>
      <c r="S45" s="9"/>
      <c r="T45" s="9"/>
    </row>
    <row r="46" spans="3:20" s="5" customFormat="1" ht="21.75" customHeight="1">
      <c r="C46" s="20"/>
      <c r="D46" s="20"/>
      <c r="E46" s="20"/>
      <c r="F46" s="26" t="s">
        <v>520</v>
      </c>
      <c r="G46" s="101">
        <f>G59+G67+G70+G99+G56+G64+G69+G102</f>
        <v>57638871.23</v>
      </c>
      <c r="H46" s="101">
        <f>H59+H67+H70+H99+H56+H64+H69+H102</f>
        <v>57638871.23</v>
      </c>
      <c r="I46" s="101">
        <f aca="true" t="shared" si="16" ref="I46:R46">I59+I67+I70+I99+I56+I64+I69+I102</f>
        <v>46078727.14</v>
      </c>
      <c r="J46" s="101">
        <f t="shared" si="16"/>
        <v>0</v>
      </c>
      <c r="K46" s="101">
        <f t="shared" si="16"/>
        <v>0</v>
      </c>
      <c r="L46" s="101">
        <f t="shared" si="16"/>
        <v>600000</v>
      </c>
      <c r="M46" s="101">
        <f t="shared" si="16"/>
        <v>600000</v>
      </c>
      <c r="N46" s="101">
        <f t="shared" si="16"/>
        <v>0</v>
      </c>
      <c r="O46" s="101">
        <f t="shared" si="16"/>
        <v>0</v>
      </c>
      <c r="P46" s="101">
        <f t="shared" si="16"/>
        <v>0</v>
      </c>
      <c r="Q46" s="101">
        <f t="shared" si="16"/>
        <v>600000</v>
      </c>
      <c r="R46" s="101">
        <f t="shared" si="16"/>
        <v>58238871.23</v>
      </c>
      <c r="S46" s="9"/>
      <c r="T46" s="9"/>
    </row>
    <row r="47" spans="3:20" s="5" customFormat="1" ht="21.75" customHeight="1">
      <c r="C47" s="20" t="s">
        <v>25</v>
      </c>
      <c r="D47" s="20" t="s">
        <v>22</v>
      </c>
      <c r="E47" s="20"/>
      <c r="F47" s="22" t="s">
        <v>23</v>
      </c>
      <c r="G47" s="98">
        <f>G48</f>
        <v>3673803</v>
      </c>
      <c r="H47" s="98">
        <f aca="true" t="shared" si="17" ref="H47:R47">H48</f>
        <v>3673803</v>
      </c>
      <c r="I47" s="98">
        <f t="shared" si="17"/>
        <v>2828510</v>
      </c>
      <c r="J47" s="98">
        <f t="shared" si="17"/>
        <v>30600</v>
      </c>
      <c r="K47" s="98">
        <f t="shared" si="17"/>
        <v>0</v>
      </c>
      <c r="L47" s="98">
        <f t="shared" si="17"/>
        <v>41908</v>
      </c>
      <c r="M47" s="98">
        <f t="shared" si="17"/>
        <v>41908</v>
      </c>
      <c r="N47" s="98">
        <f t="shared" si="17"/>
        <v>0</v>
      </c>
      <c r="O47" s="98">
        <f t="shared" si="17"/>
        <v>0</v>
      </c>
      <c r="P47" s="98">
        <f t="shared" si="17"/>
        <v>0</v>
      </c>
      <c r="Q47" s="98">
        <f t="shared" si="17"/>
        <v>41908</v>
      </c>
      <c r="R47" s="98">
        <f t="shared" si="17"/>
        <v>3715711</v>
      </c>
      <c r="S47" s="9"/>
      <c r="T47" s="9"/>
    </row>
    <row r="48" spans="1:20" s="5" customFormat="1" ht="50.25" customHeight="1">
      <c r="A48" s="5">
        <v>2</v>
      </c>
      <c r="B48" s="5">
        <v>7</v>
      </c>
      <c r="C48" s="25" t="s">
        <v>200</v>
      </c>
      <c r="D48" s="25" t="s">
        <v>126</v>
      </c>
      <c r="E48" s="25" t="s">
        <v>123</v>
      </c>
      <c r="F48" s="35" t="s">
        <v>205</v>
      </c>
      <c r="G48" s="97">
        <f aca="true" t="shared" si="18" ref="G48:G58">H48+K48</f>
        <v>3673803</v>
      </c>
      <c r="H48" s="97">
        <f>SUM(H49:H51)</f>
        <v>3673803</v>
      </c>
      <c r="I48" s="97">
        <f aca="true" t="shared" si="19" ref="I48:Q48">SUM(I49:I51)</f>
        <v>2828510</v>
      </c>
      <c r="J48" s="97">
        <f t="shared" si="19"/>
        <v>30600</v>
      </c>
      <c r="K48" s="97">
        <f t="shared" si="19"/>
        <v>0</v>
      </c>
      <c r="L48" s="97">
        <f>N48+Q48</f>
        <v>41908</v>
      </c>
      <c r="M48" s="97">
        <f t="shared" si="19"/>
        <v>41908</v>
      </c>
      <c r="N48" s="97">
        <f t="shared" si="19"/>
        <v>0</v>
      </c>
      <c r="O48" s="97">
        <f t="shared" si="19"/>
        <v>0</v>
      </c>
      <c r="P48" s="97">
        <f t="shared" si="19"/>
        <v>0</v>
      </c>
      <c r="Q48" s="97">
        <f t="shared" si="19"/>
        <v>41908</v>
      </c>
      <c r="R48" s="98">
        <f>L48+G48</f>
        <v>3715711</v>
      </c>
      <c r="S48" s="4"/>
      <c r="T48" s="4"/>
    </row>
    <row r="49" spans="3:20" s="5" customFormat="1" ht="36" customHeight="1">
      <c r="C49" s="25"/>
      <c r="D49" s="25"/>
      <c r="E49" s="25"/>
      <c r="F49" s="36" t="s">
        <v>596</v>
      </c>
      <c r="G49" s="97">
        <f t="shared" si="18"/>
        <v>3669028</v>
      </c>
      <c r="H49" s="97">
        <f>3324500+306136+38392</f>
        <v>3669028</v>
      </c>
      <c r="I49" s="97">
        <f>2499759+248451+80300</f>
        <v>2828510</v>
      </c>
      <c r="J49" s="97">
        <f>30600</f>
        <v>30600</v>
      </c>
      <c r="K49" s="97"/>
      <c r="L49" s="97">
        <f>N49+Q49</f>
        <v>41908</v>
      </c>
      <c r="M49" s="97">
        <v>41908</v>
      </c>
      <c r="N49" s="97"/>
      <c r="O49" s="97"/>
      <c r="P49" s="97"/>
      <c r="Q49" s="97">
        <f>M49</f>
        <v>41908</v>
      </c>
      <c r="R49" s="98">
        <f>L49+G49</f>
        <v>3710936</v>
      </c>
      <c r="S49" s="4"/>
      <c r="T49" s="4"/>
    </row>
    <row r="50" spans="3:20" s="5" customFormat="1" ht="50.25" customHeight="1">
      <c r="C50" s="25"/>
      <c r="D50" s="25"/>
      <c r="E50" s="25"/>
      <c r="F50" s="36" t="s">
        <v>18</v>
      </c>
      <c r="G50" s="97">
        <f t="shared" si="18"/>
        <v>4775</v>
      </c>
      <c r="H50" s="97">
        <v>4775</v>
      </c>
      <c r="I50" s="97"/>
      <c r="J50" s="97"/>
      <c r="K50" s="97"/>
      <c r="L50" s="97">
        <f>N50+Q50</f>
        <v>0</v>
      </c>
      <c r="M50" s="97"/>
      <c r="N50" s="97"/>
      <c r="O50" s="97"/>
      <c r="P50" s="97"/>
      <c r="Q50" s="97">
        <f>M50</f>
        <v>0</v>
      </c>
      <c r="R50" s="98">
        <f>L50+G50</f>
        <v>4775</v>
      </c>
      <c r="S50" s="4"/>
      <c r="T50" s="4"/>
    </row>
    <row r="51" spans="3:20" s="5" customFormat="1" ht="37.5" customHeight="1" hidden="1">
      <c r="C51" s="25"/>
      <c r="D51" s="25"/>
      <c r="E51" s="25"/>
      <c r="F51" s="36" t="s">
        <v>482</v>
      </c>
      <c r="G51" s="97">
        <f t="shared" si="18"/>
        <v>0</v>
      </c>
      <c r="H51" s="97"/>
      <c r="I51" s="97"/>
      <c r="J51" s="97"/>
      <c r="K51" s="97"/>
      <c r="L51" s="97">
        <f>N51+Q51</f>
        <v>0</v>
      </c>
      <c r="M51" s="97"/>
      <c r="N51" s="97"/>
      <c r="O51" s="97"/>
      <c r="P51" s="97"/>
      <c r="Q51" s="97"/>
      <c r="R51" s="98">
        <f>L51+G51</f>
        <v>0</v>
      </c>
      <c r="S51" s="4"/>
      <c r="T51" s="4"/>
    </row>
    <row r="52" spans="3:20" s="13" customFormat="1" ht="27" customHeight="1">
      <c r="C52" s="20" t="s">
        <v>35</v>
      </c>
      <c r="D52" s="20" t="s">
        <v>36</v>
      </c>
      <c r="E52" s="20"/>
      <c r="F52" s="33" t="s">
        <v>300</v>
      </c>
      <c r="G52" s="98">
        <f>H52+K52</f>
        <v>191144720.23</v>
      </c>
      <c r="H52" s="98">
        <f aca="true" t="shared" si="20" ref="H52:R52">H53+H58+H77+H83+H88+H95+H98</f>
        <v>191144720.23</v>
      </c>
      <c r="I52" s="98">
        <f t="shared" si="20"/>
        <v>124601544.14</v>
      </c>
      <c r="J52" s="98">
        <f t="shared" si="20"/>
        <v>12235500</v>
      </c>
      <c r="K52" s="98">
        <f t="shared" si="20"/>
        <v>0</v>
      </c>
      <c r="L52" s="98">
        <f t="shared" si="20"/>
        <v>11124619</v>
      </c>
      <c r="M52" s="98">
        <f t="shared" si="20"/>
        <v>2598801</v>
      </c>
      <c r="N52" s="98">
        <f t="shared" si="20"/>
        <v>8359118</v>
      </c>
      <c r="O52" s="98">
        <f t="shared" si="20"/>
        <v>1154883</v>
      </c>
      <c r="P52" s="98">
        <f t="shared" si="20"/>
        <v>118954</v>
      </c>
      <c r="Q52" s="98">
        <f t="shared" si="20"/>
        <v>2765501</v>
      </c>
      <c r="R52" s="98">
        <f t="shared" si="20"/>
        <v>202269339.23</v>
      </c>
      <c r="S52" s="61"/>
      <c r="T52" s="23"/>
    </row>
    <row r="53" spans="3:20" s="5" customFormat="1" ht="27.75" customHeight="1">
      <c r="C53" s="25" t="s">
        <v>223</v>
      </c>
      <c r="D53" s="25" t="s">
        <v>127</v>
      </c>
      <c r="E53" s="25" t="s">
        <v>128</v>
      </c>
      <c r="F53" s="34" t="s">
        <v>224</v>
      </c>
      <c r="G53" s="97">
        <f t="shared" si="18"/>
        <v>64077157.29</v>
      </c>
      <c r="H53" s="149">
        <f>SUM(H54:H57)</f>
        <v>64077157.29</v>
      </c>
      <c r="I53" s="149">
        <f>SUM(I54:I57)</f>
        <v>40117564</v>
      </c>
      <c r="J53" s="149">
        <f>SUM(J54:J57)</f>
        <v>5117509.29</v>
      </c>
      <c r="K53" s="149">
        <f>SUM(K54:K57)</f>
        <v>0</v>
      </c>
      <c r="L53" s="97">
        <f aca="true" t="shared" si="21" ref="L53:L79">N53+Q53</f>
        <v>4931816</v>
      </c>
      <c r="M53" s="149">
        <f>SUM(M54:M57)</f>
        <v>224504</v>
      </c>
      <c r="N53" s="149">
        <f>SUM(N54:N57)</f>
        <v>4707312</v>
      </c>
      <c r="O53" s="149">
        <f>SUM(O54:O57)</f>
        <v>0</v>
      </c>
      <c r="P53" s="149">
        <f>SUM(P54:P57)</f>
        <v>0</v>
      </c>
      <c r="Q53" s="97">
        <f aca="true" t="shared" si="22" ref="Q53:Q112">M53</f>
        <v>224504</v>
      </c>
      <c r="R53" s="98">
        <f aca="true" t="shared" si="23" ref="R53:R61">L53+G53</f>
        <v>69008973.28999999</v>
      </c>
      <c r="S53" s="4"/>
      <c r="T53" s="4"/>
    </row>
    <row r="54" spans="1:20" s="6" customFormat="1" ht="30" customHeight="1">
      <c r="A54" s="6">
        <v>1</v>
      </c>
      <c r="B54" s="6">
        <v>8</v>
      </c>
      <c r="C54" s="10"/>
      <c r="D54" s="10"/>
      <c r="E54" s="10"/>
      <c r="F54" s="26" t="s">
        <v>558</v>
      </c>
      <c r="G54" s="97">
        <f>H54+K54</f>
        <v>63459457.29</v>
      </c>
      <c r="H54" s="148">
        <f>66122945-434562-1649284.71-98239-481402</f>
        <v>63459457.29</v>
      </c>
      <c r="I54" s="148">
        <f>41931331-157920-1149668-224352-300000</f>
        <v>40099391</v>
      </c>
      <c r="J54" s="97">
        <f>6079224-961714.71</f>
        <v>5117509.29</v>
      </c>
      <c r="K54" s="97"/>
      <c r="L54" s="97">
        <f t="shared" si="21"/>
        <v>4907311</v>
      </c>
      <c r="M54" s="97">
        <v>199999</v>
      </c>
      <c r="N54" s="149">
        <v>4707312</v>
      </c>
      <c r="O54" s="101"/>
      <c r="P54" s="101"/>
      <c r="Q54" s="97">
        <f t="shared" si="22"/>
        <v>199999</v>
      </c>
      <c r="R54" s="98">
        <f t="shared" si="23"/>
        <v>68366768.28999999</v>
      </c>
      <c r="S54" s="194"/>
      <c r="T54" s="4"/>
    </row>
    <row r="55" spans="3:20" s="6" customFormat="1" ht="57.75" customHeight="1">
      <c r="C55" s="10"/>
      <c r="D55" s="10"/>
      <c r="E55" s="10"/>
      <c r="F55" s="26" t="s">
        <v>597</v>
      </c>
      <c r="G55" s="97">
        <f>H55+K55</f>
        <v>509000</v>
      </c>
      <c r="H55" s="148">
        <f>159000+350000</f>
        <v>509000</v>
      </c>
      <c r="I55" s="148"/>
      <c r="J55" s="97"/>
      <c r="K55" s="97"/>
      <c r="L55" s="97">
        <f t="shared" si="21"/>
        <v>0</v>
      </c>
      <c r="M55" s="97"/>
      <c r="N55" s="149"/>
      <c r="O55" s="101"/>
      <c r="P55" s="101"/>
      <c r="Q55" s="97">
        <f>M55</f>
        <v>0</v>
      </c>
      <c r="R55" s="98">
        <f t="shared" si="23"/>
        <v>509000</v>
      </c>
      <c r="S55" s="194"/>
      <c r="T55" s="4"/>
    </row>
    <row r="56" spans="3:20" s="6" customFormat="1" ht="50.25" customHeight="1">
      <c r="C56" s="10"/>
      <c r="D56" s="10"/>
      <c r="E56" s="10"/>
      <c r="F56" s="26" t="s">
        <v>648</v>
      </c>
      <c r="G56" s="97">
        <f t="shared" si="18"/>
        <v>22170</v>
      </c>
      <c r="H56" s="148">
        <v>22170</v>
      </c>
      <c r="I56" s="148">
        <v>18173</v>
      </c>
      <c r="J56" s="97"/>
      <c r="K56" s="97"/>
      <c r="L56" s="97">
        <f t="shared" si="21"/>
        <v>0</v>
      </c>
      <c r="M56" s="97"/>
      <c r="N56" s="149"/>
      <c r="O56" s="101"/>
      <c r="P56" s="101"/>
      <c r="Q56" s="97">
        <f t="shared" si="22"/>
        <v>0</v>
      </c>
      <c r="R56" s="98">
        <f t="shared" si="23"/>
        <v>22170</v>
      </c>
      <c r="S56" s="194"/>
      <c r="T56" s="9"/>
    </row>
    <row r="57" spans="3:21" s="6" customFormat="1" ht="39.75" customHeight="1">
      <c r="C57" s="10"/>
      <c r="D57" s="10"/>
      <c r="E57" s="10"/>
      <c r="F57" s="26" t="s">
        <v>447</v>
      </c>
      <c r="G57" s="97">
        <f t="shared" si="18"/>
        <v>86530</v>
      </c>
      <c r="H57" s="148">
        <f>29880+4500+15150+28500+8500</f>
        <v>86530</v>
      </c>
      <c r="I57" s="148"/>
      <c r="J57" s="97"/>
      <c r="K57" s="97"/>
      <c r="L57" s="97">
        <f t="shared" si="21"/>
        <v>24505</v>
      </c>
      <c r="M57" s="97">
        <f>14505+10000</f>
        <v>24505</v>
      </c>
      <c r="N57" s="149"/>
      <c r="O57" s="101"/>
      <c r="P57" s="101"/>
      <c r="Q57" s="97">
        <f t="shared" si="22"/>
        <v>24505</v>
      </c>
      <c r="R57" s="98">
        <f t="shared" si="23"/>
        <v>111035</v>
      </c>
      <c r="S57" s="194"/>
      <c r="T57" s="9"/>
      <c r="U57" s="40"/>
    </row>
    <row r="58" spans="1:20" s="5" customFormat="1" ht="58.5" customHeight="1">
      <c r="A58" s="5">
        <v>2</v>
      </c>
      <c r="B58" s="5">
        <v>9</v>
      </c>
      <c r="C58" s="25" t="s">
        <v>225</v>
      </c>
      <c r="D58" s="25" t="s">
        <v>129</v>
      </c>
      <c r="E58" s="25" t="s">
        <v>130</v>
      </c>
      <c r="F58" s="35" t="s">
        <v>89</v>
      </c>
      <c r="G58" s="97">
        <f t="shared" si="18"/>
        <v>105337201.18</v>
      </c>
      <c r="H58" s="149">
        <f>SUM(H59:H76)</f>
        <v>105337201.18</v>
      </c>
      <c r="I58" s="149">
        <f>SUM(I59:I76)</f>
        <v>68498243.14</v>
      </c>
      <c r="J58" s="149">
        <f>SUM(J59:J76)</f>
        <v>6426436.95</v>
      </c>
      <c r="K58" s="149">
        <f>SUM(K59:K76)</f>
        <v>0</v>
      </c>
      <c r="L58" s="97">
        <f t="shared" si="21"/>
        <v>4760788</v>
      </c>
      <c r="M58" s="149">
        <f>SUM(M59:M76)</f>
        <v>962407</v>
      </c>
      <c r="N58" s="149">
        <f>SUM(N59:N76)</f>
        <v>3651381</v>
      </c>
      <c r="O58" s="149">
        <f>SUM(O59:O76)</f>
        <v>1154883</v>
      </c>
      <c r="P58" s="149">
        <f>SUM(P59:P76)</f>
        <v>118954</v>
      </c>
      <c r="Q58" s="149">
        <f>SUM(Q59:Q76)</f>
        <v>1109407</v>
      </c>
      <c r="R58" s="98">
        <f t="shared" si="23"/>
        <v>110097989.18</v>
      </c>
      <c r="S58" s="4"/>
      <c r="T58" s="4"/>
    </row>
    <row r="59" spans="3:20" s="6" customFormat="1" ht="25.5" customHeight="1">
      <c r="C59" s="10"/>
      <c r="D59" s="10"/>
      <c r="E59" s="10"/>
      <c r="F59" s="36" t="s">
        <v>649</v>
      </c>
      <c r="G59" s="97">
        <f aca="true" t="shared" si="24" ref="G59:G82">H59+K59</f>
        <v>54926700</v>
      </c>
      <c r="H59" s="97">
        <f>52730200+1149800+1046700</f>
        <v>54926700</v>
      </c>
      <c r="I59" s="97">
        <f>43221475+942459+857951</f>
        <v>45021885</v>
      </c>
      <c r="J59" s="97"/>
      <c r="K59" s="101"/>
      <c r="L59" s="97">
        <f t="shared" si="21"/>
        <v>0</v>
      </c>
      <c r="M59" s="101"/>
      <c r="N59" s="193"/>
      <c r="O59" s="193"/>
      <c r="P59" s="193"/>
      <c r="Q59" s="97">
        <f t="shared" si="22"/>
        <v>0</v>
      </c>
      <c r="R59" s="98">
        <f t="shared" si="23"/>
        <v>54926700</v>
      </c>
      <c r="S59" s="9"/>
      <c r="T59" s="9"/>
    </row>
    <row r="60" spans="3:20" s="6" customFormat="1" ht="26.25" customHeight="1">
      <c r="C60" s="10"/>
      <c r="D60" s="10"/>
      <c r="E60" s="10"/>
      <c r="F60" s="36" t="s">
        <v>559</v>
      </c>
      <c r="G60" s="97">
        <f t="shared" si="24"/>
        <v>46103980.95</v>
      </c>
      <c r="H60" s="97">
        <f>48874127+68-100+1152200-2247824.05-76072-1598418</f>
        <v>46103980.95</v>
      </c>
      <c r="I60" s="97">
        <f>24927964-469452-1009475</f>
        <v>23449037</v>
      </c>
      <c r="J60" s="97">
        <f>7817735-1391298.05</f>
        <v>6426436.95</v>
      </c>
      <c r="K60" s="101"/>
      <c r="L60" s="97">
        <f>N60+Q60</f>
        <v>3862949</v>
      </c>
      <c r="M60" s="97">
        <f>156000-145000+47600+5968</f>
        <v>64568</v>
      </c>
      <c r="N60" s="149">
        <v>3651381</v>
      </c>
      <c r="O60" s="149">
        <v>1154883</v>
      </c>
      <c r="P60" s="149">
        <v>118954</v>
      </c>
      <c r="Q60" s="97">
        <f>147000+156000-145000+47600+5968</f>
        <v>211568</v>
      </c>
      <c r="R60" s="98">
        <f t="shared" si="23"/>
        <v>49966929.95</v>
      </c>
      <c r="S60" s="155"/>
      <c r="T60" s="9"/>
    </row>
    <row r="61" spans="3:20" s="6" customFormat="1" ht="58.5" customHeight="1">
      <c r="C61" s="10"/>
      <c r="D61" s="10"/>
      <c r="E61" s="10"/>
      <c r="F61" s="36" t="s">
        <v>597</v>
      </c>
      <c r="G61" s="97">
        <f t="shared" si="24"/>
        <v>1110000</v>
      </c>
      <c r="H61" s="97">
        <f>196900+913100</f>
        <v>1110000</v>
      </c>
      <c r="I61" s="97"/>
      <c r="J61" s="97"/>
      <c r="K61" s="101"/>
      <c r="L61" s="97">
        <f t="shared" si="21"/>
        <v>0</v>
      </c>
      <c r="M61" s="97"/>
      <c r="N61" s="149"/>
      <c r="O61" s="149"/>
      <c r="P61" s="149"/>
      <c r="Q61" s="97">
        <f aca="true" t="shared" si="25" ref="Q61:Q66">M61</f>
        <v>0</v>
      </c>
      <c r="R61" s="98">
        <f t="shared" si="23"/>
        <v>1110000</v>
      </c>
      <c r="S61" s="41"/>
      <c r="T61" s="9"/>
    </row>
    <row r="62" spans="3:20" s="6" customFormat="1" ht="51" customHeight="1" hidden="1">
      <c r="C62" s="10"/>
      <c r="D62" s="10"/>
      <c r="E62" s="10"/>
      <c r="F62" s="36" t="s">
        <v>650</v>
      </c>
      <c r="G62" s="97">
        <f t="shared" si="24"/>
        <v>0</v>
      </c>
      <c r="H62" s="97"/>
      <c r="I62" s="101"/>
      <c r="J62" s="101"/>
      <c r="K62" s="101"/>
      <c r="L62" s="97">
        <f t="shared" si="21"/>
        <v>0</v>
      </c>
      <c r="M62" s="97"/>
      <c r="N62" s="149"/>
      <c r="O62" s="149"/>
      <c r="P62" s="149"/>
      <c r="Q62" s="97">
        <f t="shared" si="25"/>
        <v>0</v>
      </c>
      <c r="R62" s="98">
        <f aca="true" t="shared" si="26" ref="R62:R68">L62+G62</f>
        <v>0</v>
      </c>
      <c r="S62" s="194"/>
      <c r="T62" s="9"/>
    </row>
    <row r="63" spans="3:20" s="6" customFormat="1" ht="36.75" customHeight="1" hidden="1">
      <c r="C63" s="10"/>
      <c r="D63" s="10"/>
      <c r="E63" s="10"/>
      <c r="F63" s="36" t="s">
        <v>6</v>
      </c>
      <c r="G63" s="97">
        <f t="shared" si="24"/>
        <v>0</v>
      </c>
      <c r="H63" s="97"/>
      <c r="I63" s="101"/>
      <c r="J63" s="101"/>
      <c r="K63" s="101"/>
      <c r="L63" s="97">
        <f t="shared" si="21"/>
        <v>0</v>
      </c>
      <c r="M63" s="97"/>
      <c r="N63" s="149"/>
      <c r="O63" s="149"/>
      <c r="P63" s="149"/>
      <c r="Q63" s="97">
        <f t="shared" si="25"/>
        <v>0</v>
      </c>
      <c r="R63" s="98">
        <f t="shared" si="26"/>
        <v>0</v>
      </c>
      <c r="S63" s="194"/>
      <c r="T63" s="9"/>
    </row>
    <row r="64" spans="3:20" s="6" customFormat="1" ht="69.75" customHeight="1">
      <c r="C64" s="10"/>
      <c r="D64" s="10"/>
      <c r="E64" s="10"/>
      <c r="F64" s="36" t="s">
        <v>651</v>
      </c>
      <c r="G64" s="97">
        <f>H64+K64</f>
        <v>1071390</v>
      </c>
      <c r="H64" s="97">
        <f>544700+526690</f>
        <v>1071390</v>
      </c>
      <c r="I64" s="101"/>
      <c r="J64" s="101"/>
      <c r="K64" s="101"/>
      <c r="L64" s="97">
        <f t="shared" si="21"/>
        <v>0</v>
      </c>
      <c r="M64" s="97"/>
      <c r="N64" s="193"/>
      <c r="O64" s="193"/>
      <c r="P64" s="193"/>
      <c r="Q64" s="97">
        <f t="shared" si="25"/>
        <v>0</v>
      </c>
      <c r="R64" s="98">
        <f t="shared" si="26"/>
        <v>1071390</v>
      </c>
      <c r="S64" s="194"/>
      <c r="T64" s="9"/>
    </row>
    <row r="65" spans="3:20" s="6" customFormat="1" ht="68.25" customHeight="1" hidden="1">
      <c r="C65" s="10"/>
      <c r="D65" s="10"/>
      <c r="E65" s="10"/>
      <c r="F65" s="36" t="s">
        <v>581</v>
      </c>
      <c r="G65" s="97">
        <f t="shared" si="24"/>
        <v>0</v>
      </c>
      <c r="H65" s="97"/>
      <c r="I65" s="101"/>
      <c r="J65" s="101"/>
      <c r="K65" s="101"/>
      <c r="L65" s="101">
        <f t="shared" si="21"/>
        <v>0</v>
      </c>
      <c r="M65" s="101"/>
      <c r="N65" s="193"/>
      <c r="O65" s="193"/>
      <c r="P65" s="193"/>
      <c r="Q65" s="97">
        <f t="shared" si="25"/>
        <v>0</v>
      </c>
      <c r="R65" s="98">
        <f t="shared" si="26"/>
        <v>0</v>
      </c>
      <c r="S65" s="194"/>
      <c r="T65" s="9"/>
    </row>
    <row r="66" spans="3:20" s="6" customFormat="1" ht="68.25" customHeight="1">
      <c r="C66" s="10"/>
      <c r="D66" s="10"/>
      <c r="E66" s="10"/>
      <c r="F66" s="36" t="s">
        <v>652</v>
      </c>
      <c r="G66" s="97">
        <f>H66+K66</f>
        <v>1281942</v>
      </c>
      <c r="H66" s="97">
        <f>1291554-9612</f>
        <v>1281942</v>
      </c>
      <c r="I66" s="101"/>
      <c r="J66" s="101"/>
      <c r="K66" s="101"/>
      <c r="L66" s="97">
        <f t="shared" si="21"/>
        <v>9612</v>
      </c>
      <c r="M66" s="97">
        <f>156000-127400-28600+9612</f>
        <v>9612</v>
      </c>
      <c r="N66" s="193"/>
      <c r="O66" s="193"/>
      <c r="P66" s="193"/>
      <c r="Q66" s="97">
        <f t="shared" si="25"/>
        <v>9612</v>
      </c>
      <c r="R66" s="98">
        <f t="shared" si="26"/>
        <v>1291554</v>
      </c>
      <c r="S66" s="194"/>
      <c r="T66" s="9"/>
    </row>
    <row r="67" spans="3:20" s="6" customFormat="1" ht="68.25" customHeight="1">
      <c r="C67" s="10"/>
      <c r="D67" s="10"/>
      <c r="E67" s="10"/>
      <c r="F67" s="36" t="s">
        <v>653</v>
      </c>
      <c r="G67" s="97">
        <f>H67+K67</f>
        <v>0</v>
      </c>
      <c r="H67" s="97"/>
      <c r="I67" s="101"/>
      <c r="J67" s="101"/>
      <c r="K67" s="101"/>
      <c r="L67" s="97">
        <f t="shared" si="21"/>
        <v>600000</v>
      </c>
      <c r="M67" s="97">
        <v>600000</v>
      </c>
      <c r="N67" s="193"/>
      <c r="O67" s="193"/>
      <c r="P67" s="193"/>
      <c r="Q67" s="97">
        <f>M67</f>
        <v>600000</v>
      </c>
      <c r="R67" s="98">
        <f>L67+G67</f>
        <v>600000</v>
      </c>
      <c r="S67" s="194"/>
      <c r="T67" s="9"/>
    </row>
    <row r="68" spans="3:20" s="6" customFormat="1" ht="68.25" customHeight="1">
      <c r="C68" s="10"/>
      <c r="D68" s="10"/>
      <c r="E68" s="10"/>
      <c r="F68" s="36" t="s">
        <v>654</v>
      </c>
      <c r="G68" s="97">
        <f>H68+K68</f>
        <v>347367</v>
      </c>
      <c r="H68" s="97">
        <f>538800-191433</f>
        <v>347367</v>
      </c>
      <c r="I68" s="101"/>
      <c r="J68" s="101"/>
      <c r="K68" s="101"/>
      <c r="L68" s="97">
        <f t="shared" si="21"/>
        <v>151327</v>
      </c>
      <c r="M68" s="97">
        <f>4100+147227</f>
        <v>151327</v>
      </c>
      <c r="N68" s="193"/>
      <c r="O68" s="193"/>
      <c r="P68" s="193"/>
      <c r="Q68" s="97">
        <f>M68</f>
        <v>151327</v>
      </c>
      <c r="R68" s="98">
        <f t="shared" si="26"/>
        <v>498694</v>
      </c>
      <c r="S68" s="194"/>
      <c r="T68" s="9"/>
    </row>
    <row r="69" spans="3:20" s="6" customFormat="1" ht="53.25" customHeight="1">
      <c r="C69" s="10"/>
      <c r="D69" s="10"/>
      <c r="E69" s="10"/>
      <c r="F69" s="36" t="s">
        <v>655</v>
      </c>
      <c r="G69" s="97">
        <f>H69+K69</f>
        <v>314913.23</v>
      </c>
      <c r="H69" s="97">
        <v>314913.23</v>
      </c>
      <c r="I69" s="97">
        <v>823.14</v>
      </c>
      <c r="J69" s="101"/>
      <c r="K69" s="101"/>
      <c r="L69" s="97">
        <f t="shared" si="21"/>
        <v>0</v>
      </c>
      <c r="M69" s="97"/>
      <c r="N69" s="193"/>
      <c r="O69" s="193"/>
      <c r="P69" s="193"/>
      <c r="Q69" s="97">
        <f>M69</f>
        <v>0</v>
      </c>
      <c r="R69" s="98">
        <f aca="true" t="shared" si="27" ref="R69:R83">L69+G69</f>
        <v>314913.23</v>
      </c>
      <c r="S69" s="194"/>
      <c r="T69" s="9"/>
    </row>
    <row r="70" spans="3:20" s="6" customFormat="1" ht="54" customHeight="1">
      <c r="C70" s="10"/>
      <c r="D70" s="10"/>
      <c r="E70" s="10"/>
      <c r="F70" s="36" t="s">
        <v>656</v>
      </c>
      <c r="G70" s="97">
        <f t="shared" si="24"/>
        <v>32327</v>
      </c>
      <c r="H70" s="97">
        <v>32327</v>
      </c>
      <c r="I70" s="97">
        <v>26498</v>
      </c>
      <c r="J70" s="101"/>
      <c r="K70" s="101"/>
      <c r="L70" s="97">
        <f t="shared" si="21"/>
        <v>0</v>
      </c>
      <c r="M70" s="97"/>
      <c r="N70" s="193"/>
      <c r="O70" s="193"/>
      <c r="P70" s="193"/>
      <c r="Q70" s="97">
        <f t="shared" si="22"/>
        <v>0</v>
      </c>
      <c r="R70" s="98">
        <f t="shared" si="27"/>
        <v>32327</v>
      </c>
      <c r="S70" s="194"/>
      <c r="T70" s="9"/>
    </row>
    <row r="71" spans="3:20" s="6" customFormat="1" ht="42.75" customHeight="1">
      <c r="C71" s="10"/>
      <c r="D71" s="10"/>
      <c r="E71" s="10"/>
      <c r="F71" s="36" t="s">
        <v>482</v>
      </c>
      <c r="G71" s="97">
        <f t="shared" si="24"/>
        <v>148581</v>
      </c>
      <c r="H71" s="97">
        <f>50000+5000+10000+36981+42500+4100</f>
        <v>148581</v>
      </c>
      <c r="I71" s="101"/>
      <c r="J71" s="101"/>
      <c r="K71" s="101"/>
      <c r="L71" s="97">
        <f t="shared" si="21"/>
        <v>136900</v>
      </c>
      <c r="M71" s="97">
        <f>13000+128000-4100</f>
        <v>136900</v>
      </c>
      <c r="N71" s="149"/>
      <c r="O71" s="149"/>
      <c r="P71" s="149"/>
      <c r="Q71" s="97">
        <f t="shared" si="22"/>
        <v>136900</v>
      </c>
      <c r="R71" s="98">
        <f t="shared" si="27"/>
        <v>285481</v>
      </c>
      <c r="S71" s="195"/>
      <c r="T71" s="9"/>
    </row>
    <row r="72" spans="3:20" s="6" customFormat="1" ht="54" customHeight="1" hidden="1">
      <c r="C72" s="10"/>
      <c r="D72" s="10"/>
      <c r="E72" s="10"/>
      <c r="F72" s="36" t="s">
        <v>657</v>
      </c>
      <c r="G72" s="97">
        <f t="shared" si="24"/>
        <v>0</v>
      </c>
      <c r="H72" s="97"/>
      <c r="I72" s="101"/>
      <c r="J72" s="101"/>
      <c r="K72" s="101"/>
      <c r="L72" s="97">
        <f t="shared" si="21"/>
        <v>0</v>
      </c>
      <c r="M72" s="97"/>
      <c r="N72" s="149"/>
      <c r="O72" s="149"/>
      <c r="P72" s="149"/>
      <c r="Q72" s="97">
        <f t="shared" si="22"/>
        <v>0</v>
      </c>
      <c r="R72" s="98">
        <f t="shared" si="27"/>
        <v>0</v>
      </c>
      <c r="S72" s="195"/>
      <c r="T72" s="9"/>
    </row>
    <row r="73" spans="3:20" s="6" customFormat="1" ht="54" customHeight="1" hidden="1">
      <c r="C73" s="10"/>
      <c r="D73" s="10"/>
      <c r="E73" s="10"/>
      <c r="F73" s="36" t="s">
        <v>658</v>
      </c>
      <c r="G73" s="97">
        <f t="shared" si="24"/>
        <v>0</v>
      </c>
      <c r="H73" s="97"/>
      <c r="I73" s="101"/>
      <c r="J73" s="101"/>
      <c r="K73" s="101"/>
      <c r="L73" s="97">
        <f t="shared" si="21"/>
        <v>0</v>
      </c>
      <c r="M73" s="97"/>
      <c r="N73" s="149"/>
      <c r="O73" s="149"/>
      <c r="P73" s="149"/>
      <c r="Q73" s="97">
        <f t="shared" si="22"/>
        <v>0</v>
      </c>
      <c r="R73" s="98">
        <f t="shared" si="27"/>
        <v>0</v>
      </c>
      <c r="S73" s="195"/>
      <c r="T73" s="9"/>
    </row>
    <row r="74" spans="3:20" s="6" customFormat="1" ht="54" customHeight="1" hidden="1">
      <c r="C74" s="10"/>
      <c r="D74" s="10"/>
      <c r="E74" s="10"/>
      <c r="F74" s="36" t="s">
        <v>659</v>
      </c>
      <c r="G74" s="97"/>
      <c r="H74" s="97"/>
      <c r="I74" s="101"/>
      <c r="J74" s="101"/>
      <c r="K74" s="101"/>
      <c r="L74" s="97">
        <f t="shared" si="21"/>
        <v>0</v>
      </c>
      <c r="M74" s="97"/>
      <c r="N74" s="149"/>
      <c r="O74" s="149"/>
      <c r="P74" s="149"/>
      <c r="Q74" s="97">
        <f t="shared" si="22"/>
        <v>0</v>
      </c>
      <c r="R74" s="98">
        <f t="shared" si="27"/>
        <v>0</v>
      </c>
      <c r="S74" s="195"/>
      <c r="T74" s="9"/>
    </row>
    <row r="75" spans="3:20" s="6" customFormat="1" ht="54" customHeight="1" hidden="1">
      <c r="C75" s="10"/>
      <c r="D75" s="10"/>
      <c r="E75" s="10"/>
      <c r="F75" s="36" t="s">
        <v>9</v>
      </c>
      <c r="G75" s="97"/>
      <c r="H75" s="97"/>
      <c r="I75" s="101"/>
      <c r="J75" s="101"/>
      <c r="K75" s="101"/>
      <c r="L75" s="97">
        <f t="shared" si="21"/>
        <v>0</v>
      </c>
      <c r="M75" s="97"/>
      <c r="N75" s="149"/>
      <c r="O75" s="149"/>
      <c r="P75" s="149"/>
      <c r="Q75" s="97">
        <f t="shared" si="22"/>
        <v>0</v>
      </c>
      <c r="R75" s="98">
        <f t="shared" si="27"/>
        <v>0</v>
      </c>
      <c r="S75" s="195"/>
      <c r="T75" s="9"/>
    </row>
    <row r="76" spans="3:20" s="6" customFormat="1" ht="52.5" customHeight="1" hidden="1">
      <c r="C76" s="10"/>
      <c r="D76" s="10"/>
      <c r="E76" s="10"/>
      <c r="F76" s="36" t="s">
        <v>111</v>
      </c>
      <c r="G76" s="97">
        <f t="shared" si="24"/>
        <v>0</v>
      </c>
      <c r="H76" s="101"/>
      <c r="I76" s="101"/>
      <c r="J76" s="101"/>
      <c r="K76" s="101"/>
      <c r="L76" s="97">
        <f t="shared" si="21"/>
        <v>0</v>
      </c>
      <c r="M76" s="97"/>
      <c r="N76" s="193"/>
      <c r="O76" s="193"/>
      <c r="P76" s="193"/>
      <c r="Q76" s="97">
        <f t="shared" si="22"/>
        <v>0</v>
      </c>
      <c r="R76" s="98">
        <f t="shared" si="27"/>
        <v>0</v>
      </c>
      <c r="S76" s="194"/>
      <c r="T76" s="9"/>
    </row>
    <row r="77" spans="1:20" s="5" customFormat="1" ht="49.5" customHeight="1">
      <c r="A77" s="5">
        <v>3</v>
      </c>
      <c r="B77" s="5">
        <v>10</v>
      </c>
      <c r="C77" s="18" t="s">
        <v>226</v>
      </c>
      <c r="D77" s="18" t="s">
        <v>131</v>
      </c>
      <c r="E77" s="18" t="s">
        <v>132</v>
      </c>
      <c r="F77" s="35" t="s">
        <v>88</v>
      </c>
      <c r="G77" s="97">
        <f t="shared" si="24"/>
        <v>9232682.32</v>
      </c>
      <c r="H77" s="149">
        <f>SUM(H78:H82)</f>
        <v>9232682.32</v>
      </c>
      <c r="I77" s="149">
        <f>SUM(I78:I82)</f>
        <v>7096577</v>
      </c>
      <c r="J77" s="149">
        <f>SUM(J78:J82)</f>
        <v>187936.32</v>
      </c>
      <c r="K77" s="149">
        <f>SUM(K78:K82)</f>
        <v>0</v>
      </c>
      <c r="L77" s="97">
        <f t="shared" si="21"/>
        <v>33125</v>
      </c>
      <c r="M77" s="149">
        <f>SUM(M78:M82)</f>
        <v>13000</v>
      </c>
      <c r="N77" s="149">
        <f>SUM(N78:N82)</f>
        <v>425</v>
      </c>
      <c r="O77" s="196"/>
      <c r="P77" s="196"/>
      <c r="Q77" s="97">
        <f>M77+19700</f>
        <v>32700</v>
      </c>
      <c r="R77" s="98">
        <f t="shared" si="27"/>
        <v>9265807.32</v>
      </c>
      <c r="S77" s="195"/>
      <c r="T77" s="4"/>
    </row>
    <row r="78" spans="3:20" s="5" customFormat="1" ht="39.75" customHeight="1">
      <c r="C78" s="18"/>
      <c r="D78" s="18"/>
      <c r="E78" s="18"/>
      <c r="F78" s="36" t="s">
        <v>560</v>
      </c>
      <c r="G78" s="97">
        <f t="shared" si="24"/>
        <v>9196682.32</v>
      </c>
      <c r="H78" s="148">
        <f>9819355-65555.68-217817-339300</f>
        <v>9196682.32</v>
      </c>
      <c r="I78" s="148">
        <f>7527157-185280-245300</f>
        <v>7096577</v>
      </c>
      <c r="J78" s="97">
        <f>253492-65555.68</f>
        <v>187936.32</v>
      </c>
      <c r="K78" s="97"/>
      <c r="L78" s="97">
        <f t="shared" si="21"/>
        <v>33125</v>
      </c>
      <c r="M78" s="149">
        <v>13000</v>
      </c>
      <c r="N78" s="149">
        <v>425</v>
      </c>
      <c r="O78" s="196"/>
      <c r="P78" s="196"/>
      <c r="Q78" s="97">
        <f>M78+19700</f>
        <v>32700</v>
      </c>
      <c r="R78" s="98">
        <f t="shared" si="27"/>
        <v>9229807.32</v>
      </c>
      <c r="S78" s="195"/>
      <c r="T78" s="4"/>
    </row>
    <row r="79" spans="3:20" s="5" customFormat="1" ht="54" customHeight="1">
      <c r="C79" s="18"/>
      <c r="D79" s="18"/>
      <c r="E79" s="18"/>
      <c r="F79" s="36" t="s">
        <v>18</v>
      </c>
      <c r="G79" s="97">
        <f t="shared" si="24"/>
        <v>36000</v>
      </c>
      <c r="H79" s="148">
        <f>11000+25000</f>
        <v>36000</v>
      </c>
      <c r="I79" s="148"/>
      <c r="J79" s="97"/>
      <c r="K79" s="97"/>
      <c r="L79" s="97">
        <f t="shared" si="21"/>
        <v>0</v>
      </c>
      <c r="M79" s="196"/>
      <c r="N79" s="196"/>
      <c r="O79" s="196"/>
      <c r="P79" s="196"/>
      <c r="Q79" s="97">
        <f t="shared" si="22"/>
        <v>0</v>
      </c>
      <c r="R79" s="98">
        <f t="shared" si="27"/>
        <v>36000</v>
      </c>
      <c r="S79" s="195"/>
      <c r="T79" s="4"/>
    </row>
    <row r="80" spans="3:20" s="5" customFormat="1" ht="50.25" customHeight="1" hidden="1">
      <c r="C80" s="18"/>
      <c r="D80" s="18"/>
      <c r="E80" s="18"/>
      <c r="F80" s="36" t="s">
        <v>650</v>
      </c>
      <c r="G80" s="97">
        <f t="shared" si="24"/>
        <v>0</v>
      </c>
      <c r="H80" s="148"/>
      <c r="I80" s="148"/>
      <c r="J80" s="97"/>
      <c r="K80" s="97"/>
      <c r="L80" s="97">
        <f aca="true" t="shared" si="28" ref="L80:L86">N80+Q80</f>
        <v>0</v>
      </c>
      <c r="M80" s="196"/>
      <c r="N80" s="196"/>
      <c r="O80" s="196"/>
      <c r="P80" s="196"/>
      <c r="Q80" s="97">
        <f t="shared" si="22"/>
        <v>0</v>
      </c>
      <c r="R80" s="98">
        <f t="shared" si="27"/>
        <v>0</v>
      </c>
      <c r="S80" s="195"/>
      <c r="T80" s="4"/>
    </row>
    <row r="81" spans="3:20" s="5" customFormat="1" ht="50.25" customHeight="1" hidden="1">
      <c r="C81" s="18"/>
      <c r="D81" s="18"/>
      <c r="E81" s="18"/>
      <c r="F81" s="36" t="s">
        <v>6</v>
      </c>
      <c r="G81" s="97">
        <f t="shared" si="24"/>
        <v>0</v>
      </c>
      <c r="H81" s="148"/>
      <c r="I81" s="148"/>
      <c r="J81" s="97"/>
      <c r="K81" s="97"/>
      <c r="L81" s="97">
        <f t="shared" si="28"/>
        <v>0</v>
      </c>
      <c r="M81" s="196"/>
      <c r="N81" s="196"/>
      <c r="O81" s="196"/>
      <c r="P81" s="196"/>
      <c r="Q81" s="97">
        <f t="shared" si="22"/>
        <v>0</v>
      </c>
      <c r="R81" s="98">
        <f t="shared" si="27"/>
        <v>0</v>
      </c>
      <c r="S81" s="195"/>
      <c r="T81" s="4"/>
    </row>
    <row r="82" spans="3:20" s="5" customFormat="1" ht="45" customHeight="1" hidden="1">
      <c r="C82" s="18"/>
      <c r="D82" s="18"/>
      <c r="E82" s="18"/>
      <c r="F82" s="36" t="s">
        <v>447</v>
      </c>
      <c r="G82" s="97">
        <f t="shared" si="24"/>
        <v>0</v>
      </c>
      <c r="H82" s="148"/>
      <c r="I82" s="148"/>
      <c r="J82" s="97"/>
      <c r="K82" s="97"/>
      <c r="L82" s="97">
        <f t="shared" si="28"/>
        <v>0</v>
      </c>
      <c r="M82" s="149"/>
      <c r="N82" s="149"/>
      <c r="O82" s="149"/>
      <c r="P82" s="149"/>
      <c r="Q82" s="97">
        <f t="shared" si="22"/>
        <v>0</v>
      </c>
      <c r="R82" s="98">
        <f t="shared" si="27"/>
        <v>0</v>
      </c>
      <c r="S82" s="195"/>
      <c r="T82" s="4"/>
    </row>
    <row r="83" spans="1:20" s="5" customFormat="1" ht="34.5" customHeight="1">
      <c r="A83" s="5">
        <v>4</v>
      </c>
      <c r="B83" s="5">
        <v>11</v>
      </c>
      <c r="C83" s="25" t="s">
        <v>228</v>
      </c>
      <c r="D83" s="25" t="s">
        <v>227</v>
      </c>
      <c r="E83" s="25" t="s">
        <v>133</v>
      </c>
      <c r="F83" s="35" t="s">
        <v>620</v>
      </c>
      <c r="G83" s="97">
        <f>H83+K83</f>
        <v>1670920</v>
      </c>
      <c r="H83" s="149">
        <f>SUM(H84:H87)</f>
        <v>1670920</v>
      </c>
      <c r="I83" s="149">
        <f aca="true" t="shared" si="29" ref="I83:P83">SUM(I84:I87)</f>
        <v>1275110</v>
      </c>
      <c r="J83" s="149">
        <f t="shared" si="29"/>
        <v>25058</v>
      </c>
      <c r="K83" s="149">
        <f t="shared" si="29"/>
        <v>0</v>
      </c>
      <c r="L83" s="97">
        <f t="shared" si="28"/>
        <v>0</v>
      </c>
      <c r="M83" s="149">
        <f t="shared" si="29"/>
        <v>0</v>
      </c>
      <c r="N83" s="149">
        <f t="shared" si="29"/>
        <v>0</v>
      </c>
      <c r="O83" s="149">
        <f t="shared" si="29"/>
        <v>0</v>
      </c>
      <c r="P83" s="149">
        <f t="shared" si="29"/>
        <v>0</v>
      </c>
      <c r="Q83" s="97">
        <f t="shared" si="22"/>
        <v>0</v>
      </c>
      <c r="R83" s="98">
        <f t="shared" si="27"/>
        <v>1670920</v>
      </c>
      <c r="S83" s="4"/>
      <c r="T83" s="4"/>
    </row>
    <row r="84" spans="3:20" s="5" customFormat="1" ht="39.75" customHeight="1">
      <c r="C84" s="25"/>
      <c r="D84" s="25"/>
      <c r="E84" s="25"/>
      <c r="F84" s="36" t="s">
        <v>618</v>
      </c>
      <c r="G84" s="97">
        <f>H84+K84</f>
        <v>1667610</v>
      </c>
      <c r="H84" s="149">
        <f>1620340+64270-17000</f>
        <v>1667610</v>
      </c>
      <c r="I84" s="149">
        <v>1275110</v>
      </c>
      <c r="J84" s="149">
        <v>25058</v>
      </c>
      <c r="K84" s="149">
        <f>SUM(K87:K88)</f>
        <v>0</v>
      </c>
      <c r="L84" s="97">
        <f t="shared" si="28"/>
        <v>0</v>
      </c>
      <c r="M84" s="149"/>
      <c r="N84" s="149">
        <f>SUM(N87:N88)</f>
        <v>0</v>
      </c>
      <c r="O84" s="149">
        <f>SUM(O87:O88)</f>
        <v>0</v>
      </c>
      <c r="P84" s="149">
        <f>SUM(P87:P88)</f>
        <v>0</v>
      </c>
      <c r="Q84" s="97">
        <f>M84</f>
        <v>0</v>
      </c>
      <c r="R84" s="98">
        <f>L84+G84</f>
        <v>1667610</v>
      </c>
      <c r="S84" s="4"/>
      <c r="T84" s="4"/>
    </row>
    <row r="85" spans="3:20" s="5" customFormat="1" ht="54.75" customHeight="1">
      <c r="C85" s="25"/>
      <c r="D85" s="25"/>
      <c r="E85" s="25"/>
      <c r="F85" s="36" t="s">
        <v>18</v>
      </c>
      <c r="G85" s="97">
        <f>H85+K85</f>
        <v>3310</v>
      </c>
      <c r="H85" s="149">
        <v>3310</v>
      </c>
      <c r="I85" s="149"/>
      <c r="J85" s="149"/>
      <c r="K85" s="149"/>
      <c r="L85" s="97">
        <f t="shared" si="28"/>
        <v>0</v>
      </c>
      <c r="M85" s="149"/>
      <c r="N85" s="149"/>
      <c r="O85" s="149"/>
      <c r="P85" s="149"/>
      <c r="Q85" s="97">
        <f>M85</f>
        <v>0</v>
      </c>
      <c r="R85" s="98">
        <f>L85+G85</f>
        <v>3310</v>
      </c>
      <c r="S85" s="4"/>
      <c r="T85" s="4"/>
    </row>
    <row r="86" spans="3:20" s="5" customFormat="1" ht="45" customHeight="1" hidden="1">
      <c r="C86" s="25"/>
      <c r="D86" s="25"/>
      <c r="E86" s="25"/>
      <c r="F86" s="36" t="s">
        <v>530</v>
      </c>
      <c r="G86" s="97">
        <f>H86+K86</f>
        <v>0</v>
      </c>
      <c r="H86" s="101"/>
      <c r="I86" s="101"/>
      <c r="J86" s="101"/>
      <c r="K86" s="97"/>
      <c r="L86" s="97">
        <f t="shared" si="28"/>
        <v>0</v>
      </c>
      <c r="M86" s="97"/>
      <c r="N86" s="149"/>
      <c r="O86" s="149"/>
      <c r="P86" s="149"/>
      <c r="Q86" s="97">
        <f>M86</f>
        <v>0</v>
      </c>
      <c r="R86" s="98">
        <f>L86+G86</f>
        <v>0</v>
      </c>
      <c r="S86" s="195"/>
      <c r="T86" s="4"/>
    </row>
    <row r="87" spans="3:20" s="5" customFormat="1" ht="38.25" customHeight="1" hidden="1">
      <c r="C87" s="25"/>
      <c r="D87" s="25"/>
      <c r="E87" s="25"/>
      <c r="F87" s="36" t="s">
        <v>482</v>
      </c>
      <c r="G87" s="97">
        <f aca="true" t="shared" si="30" ref="G87:G112">H87+K87</f>
        <v>0</v>
      </c>
      <c r="H87" s="97"/>
      <c r="I87" s="97"/>
      <c r="J87" s="97"/>
      <c r="K87" s="97"/>
      <c r="L87" s="97">
        <f>N87+Q87</f>
        <v>0</v>
      </c>
      <c r="M87" s="97"/>
      <c r="N87" s="149"/>
      <c r="O87" s="149"/>
      <c r="P87" s="149"/>
      <c r="Q87" s="97">
        <f t="shared" si="22"/>
        <v>0</v>
      </c>
      <c r="R87" s="98">
        <f aca="true" t="shared" si="31" ref="R87:R104">L87+G87</f>
        <v>0</v>
      </c>
      <c r="S87" s="194"/>
      <c r="T87" s="4"/>
    </row>
    <row r="88" spans="3:20" s="5" customFormat="1" ht="44.25" customHeight="1">
      <c r="C88" s="25" t="s">
        <v>350</v>
      </c>
      <c r="D88" s="25" t="s">
        <v>351</v>
      </c>
      <c r="E88" s="25" t="s">
        <v>133</v>
      </c>
      <c r="F88" s="35" t="s">
        <v>518</v>
      </c>
      <c r="G88" s="97">
        <f t="shared" si="30"/>
        <v>9037283.44</v>
      </c>
      <c r="H88" s="149">
        <f>SUM(H89:H94)</f>
        <v>9037283.44</v>
      </c>
      <c r="I88" s="149">
        <f aca="true" t="shared" si="32" ref="I88:P88">SUM(I89:I93)</f>
        <v>6424116</v>
      </c>
      <c r="J88" s="149">
        <f t="shared" si="32"/>
        <v>455239.44</v>
      </c>
      <c r="K88" s="149">
        <f t="shared" si="32"/>
        <v>0</v>
      </c>
      <c r="L88" s="149">
        <f t="shared" si="32"/>
        <v>1398890</v>
      </c>
      <c r="M88" s="149">
        <f>SUM(M89:M93)</f>
        <v>1398890</v>
      </c>
      <c r="N88" s="149">
        <f t="shared" si="32"/>
        <v>0</v>
      </c>
      <c r="O88" s="149">
        <f t="shared" si="32"/>
        <v>0</v>
      </c>
      <c r="P88" s="149">
        <f t="shared" si="32"/>
        <v>0</v>
      </c>
      <c r="Q88" s="149">
        <f>SUM(Q89:Q93)</f>
        <v>1398890</v>
      </c>
      <c r="R88" s="98">
        <f t="shared" si="31"/>
        <v>10436173.44</v>
      </c>
      <c r="S88" s="42"/>
      <c r="T88" s="4"/>
    </row>
    <row r="89" spans="3:20" s="6" customFormat="1" ht="30" customHeight="1">
      <c r="C89" s="10"/>
      <c r="D89" s="10"/>
      <c r="E89" s="10"/>
      <c r="F89" s="36" t="s">
        <v>484</v>
      </c>
      <c r="G89" s="97">
        <f t="shared" si="30"/>
        <v>3290549</v>
      </c>
      <c r="H89" s="148">
        <f>3132921+157628</f>
        <v>3290549</v>
      </c>
      <c r="I89" s="148">
        <f>2439491+129204</f>
        <v>2568695</v>
      </c>
      <c r="J89" s="97">
        <v>39322</v>
      </c>
      <c r="K89" s="148"/>
      <c r="L89" s="97">
        <f>N89+Q89</f>
        <v>0</v>
      </c>
      <c r="M89" s="148"/>
      <c r="N89" s="148"/>
      <c r="O89" s="148"/>
      <c r="P89" s="148"/>
      <c r="Q89" s="97">
        <f t="shared" si="22"/>
        <v>0</v>
      </c>
      <c r="R89" s="98">
        <f t="shared" si="31"/>
        <v>3290549</v>
      </c>
      <c r="S89" s="194"/>
      <c r="T89" s="9"/>
    </row>
    <row r="90" spans="3:20" s="6" customFormat="1" ht="50.25" customHeight="1">
      <c r="C90" s="10"/>
      <c r="D90" s="10"/>
      <c r="E90" s="10"/>
      <c r="F90" s="36" t="s">
        <v>619</v>
      </c>
      <c r="G90" s="97">
        <f t="shared" si="30"/>
        <v>8090</v>
      </c>
      <c r="H90" s="148">
        <v>8090</v>
      </c>
      <c r="I90" s="148"/>
      <c r="J90" s="97"/>
      <c r="K90" s="148"/>
      <c r="L90" s="97">
        <f>N90+Q90</f>
        <v>0</v>
      </c>
      <c r="M90" s="148"/>
      <c r="N90" s="148"/>
      <c r="O90" s="148"/>
      <c r="P90" s="148"/>
      <c r="Q90" s="97">
        <f>M90</f>
        <v>0</v>
      </c>
      <c r="R90" s="98">
        <f>L90+G90</f>
        <v>8090</v>
      </c>
      <c r="S90" s="194"/>
      <c r="T90" s="9"/>
    </row>
    <row r="91" spans="1:20" s="6" customFormat="1" ht="37.5" customHeight="1">
      <c r="A91" s="6">
        <v>6</v>
      </c>
      <c r="B91" s="6">
        <v>13</v>
      </c>
      <c r="C91" s="10"/>
      <c r="D91" s="10"/>
      <c r="E91" s="10"/>
      <c r="F91" s="36" t="s">
        <v>599</v>
      </c>
      <c r="G91" s="97">
        <f t="shared" si="30"/>
        <v>2919399</v>
      </c>
      <c r="H91" s="148">
        <f>2604399+590+108110+206300</f>
        <v>2919399</v>
      </c>
      <c r="I91" s="148">
        <f>1856633+169098</f>
        <v>2025731</v>
      </c>
      <c r="J91" s="97">
        <v>58662</v>
      </c>
      <c r="K91" s="97"/>
      <c r="L91" s="97">
        <f>N91+Q91</f>
        <v>1398890</v>
      </c>
      <c r="M91" s="97">
        <f>1100000+292000+6890</f>
        <v>1398890</v>
      </c>
      <c r="N91" s="193"/>
      <c r="O91" s="193"/>
      <c r="P91" s="193"/>
      <c r="Q91" s="97">
        <f t="shared" si="22"/>
        <v>1398890</v>
      </c>
      <c r="R91" s="98">
        <f t="shared" si="31"/>
        <v>4318289</v>
      </c>
      <c r="S91" s="41"/>
      <c r="T91" s="9"/>
    </row>
    <row r="92" spans="3:20" s="6" customFormat="1" ht="54.75" customHeight="1">
      <c r="C92" s="10"/>
      <c r="D92" s="10"/>
      <c r="E92" s="10"/>
      <c r="F92" s="36" t="s">
        <v>598</v>
      </c>
      <c r="G92" s="97">
        <f t="shared" si="30"/>
        <v>17825</v>
      </c>
      <c r="H92" s="148">
        <f>9000+8825</f>
        <v>17825</v>
      </c>
      <c r="I92" s="148"/>
      <c r="J92" s="97"/>
      <c r="K92" s="97"/>
      <c r="L92" s="97">
        <f>N92+Q92</f>
        <v>0</v>
      </c>
      <c r="M92" s="97"/>
      <c r="N92" s="193"/>
      <c r="O92" s="193"/>
      <c r="P92" s="193"/>
      <c r="Q92" s="97"/>
      <c r="R92" s="98">
        <f t="shared" si="31"/>
        <v>17825</v>
      </c>
      <c r="S92" s="41"/>
      <c r="T92" s="9"/>
    </row>
    <row r="93" spans="3:20" s="6" customFormat="1" ht="37.5" customHeight="1">
      <c r="C93" s="10"/>
      <c r="D93" s="10"/>
      <c r="E93" s="10"/>
      <c r="F93" s="36" t="s">
        <v>561</v>
      </c>
      <c r="G93" s="97">
        <f>H93+K93</f>
        <v>2778920.44</v>
      </c>
      <c r="H93" s="148">
        <f>2855352-81431.56+5000</f>
        <v>2778920.44</v>
      </c>
      <c r="I93" s="148">
        <v>1829690</v>
      </c>
      <c r="J93" s="97">
        <f>438687-81431.56</f>
        <v>357255.44</v>
      </c>
      <c r="K93" s="97"/>
      <c r="L93" s="97">
        <f>N93+Q93</f>
        <v>0</v>
      </c>
      <c r="M93" s="97"/>
      <c r="N93" s="149"/>
      <c r="O93" s="149"/>
      <c r="P93" s="149"/>
      <c r="Q93" s="97">
        <f t="shared" si="22"/>
        <v>0</v>
      </c>
      <c r="R93" s="98">
        <f t="shared" si="31"/>
        <v>2778920.44</v>
      </c>
      <c r="S93" s="41"/>
      <c r="T93" s="9"/>
    </row>
    <row r="94" spans="3:20" s="6" customFormat="1" ht="54" customHeight="1">
      <c r="C94" s="10"/>
      <c r="D94" s="10"/>
      <c r="E94" s="10"/>
      <c r="F94" s="36" t="s">
        <v>597</v>
      </c>
      <c r="G94" s="97">
        <f>H94+K94</f>
        <v>22500</v>
      </c>
      <c r="H94" s="148">
        <f>7500+15000</f>
        <v>22500</v>
      </c>
      <c r="I94" s="148"/>
      <c r="J94" s="97"/>
      <c r="K94" s="97"/>
      <c r="L94" s="97"/>
      <c r="M94" s="97"/>
      <c r="N94" s="149"/>
      <c r="O94" s="149"/>
      <c r="P94" s="149"/>
      <c r="Q94" s="97"/>
      <c r="R94" s="98">
        <f t="shared" si="31"/>
        <v>22500</v>
      </c>
      <c r="S94" s="41"/>
      <c r="T94" s="9"/>
    </row>
    <row r="95" spans="1:20" s="5" customFormat="1" ht="45" customHeight="1">
      <c r="A95" s="5">
        <v>7</v>
      </c>
      <c r="B95" s="5">
        <v>14</v>
      </c>
      <c r="C95" s="25" t="s">
        <v>352</v>
      </c>
      <c r="D95" s="25" t="s">
        <v>353</v>
      </c>
      <c r="E95" s="25" t="s">
        <v>133</v>
      </c>
      <c r="F95" s="35" t="s">
        <v>354</v>
      </c>
      <c r="G95" s="149">
        <f>SUM(G96:G97)</f>
        <v>244760</v>
      </c>
      <c r="H95" s="149">
        <f>SUM(H96:H97)</f>
        <v>244760</v>
      </c>
      <c r="I95" s="149">
        <f>SUM(I96:I97)</f>
        <v>0</v>
      </c>
      <c r="J95" s="149">
        <f>SUM(J96:J97)</f>
        <v>0</v>
      </c>
      <c r="K95" s="149">
        <f>SUM(K96:K100)</f>
        <v>0</v>
      </c>
      <c r="L95" s="97">
        <f>N95+Q95</f>
        <v>0</v>
      </c>
      <c r="M95" s="149">
        <f>SUM(M96:M97)</f>
        <v>0</v>
      </c>
      <c r="N95" s="149">
        <f>SUM(N96:N97)</f>
        <v>0</v>
      </c>
      <c r="O95" s="149">
        <f>SUM(O96:O97)</f>
        <v>0</v>
      </c>
      <c r="P95" s="149">
        <f>SUM(P96:P97)</f>
        <v>0</v>
      </c>
      <c r="Q95" s="97">
        <f t="shared" si="22"/>
        <v>0</v>
      </c>
      <c r="R95" s="98">
        <f t="shared" si="31"/>
        <v>244760</v>
      </c>
      <c r="S95" s="42"/>
      <c r="T95" s="4"/>
    </row>
    <row r="96" spans="3:20" s="6" customFormat="1" ht="40.5" customHeight="1">
      <c r="C96" s="10"/>
      <c r="D96" s="10"/>
      <c r="E96" s="10"/>
      <c r="F96" s="36" t="s">
        <v>416</v>
      </c>
      <c r="G96" s="97">
        <f t="shared" si="30"/>
        <v>12670</v>
      </c>
      <c r="H96" s="148">
        <f>10860+1810</f>
        <v>12670</v>
      </c>
      <c r="I96" s="148"/>
      <c r="J96" s="148"/>
      <c r="K96" s="148"/>
      <c r="L96" s="97">
        <f>N96+Q96</f>
        <v>0</v>
      </c>
      <c r="M96" s="101"/>
      <c r="N96" s="150"/>
      <c r="O96" s="150"/>
      <c r="P96" s="150"/>
      <c r="Q96" s="97">
        <f t="shared" si="22"/>
        <v>0</v>
      </c>
      <c r="R96" s="98">
        <f t="shared" si="31"/>
        <v>12670</v>
      </c>
      <c r="S96" s="39"/>
      <c r="T96" s="9"/>
    </row>
    <row r="97" spans="3:20" s="6" customFormat="1" ht="42" customHeight="1">
      <c r="C97" s="10"/>
      <c r="D97" s="10"/>
      <c r="E97" s="10"/>
      <c r="F97" s="36" t="s">
        <v>545</v>
      </c>
      <c r="G97" s="97">
        <f t="shared" si="30"/>
        <v>232090</v>
      </c>
      <c r="H97" s="148">
        <f>233900-1810</f>
        <v>232090</v>
      </c>
      <c r="I97" s="148"/>
      <c r="J97" s="148"/>
      <c r="K97" s="148"/>
      <c r="L97" s="97">
        <f aca="true" t="shared" si="33" ref="L97:L112">N97+Q97</f>
        <v>0</v>
      </c>
      <c r="M97" s="101"/>
      <c r="N97" s="150"/>
      <c r="O97" s="150"/>
      <c r="P97" s="150"/>
      <c r="Q97" s="97">
        <f t="shared" si="22"/>
        <v>0</v>
      </c>
      <c r="R97" s="98">
        <f t="shared" si="31"/>
        <v>232090</v>
      </c>
      <c r="S97" s="39"/>
      <c r="T97" s="9"/>
    </row>
    <row r="98" spans="3:20" s="6" customFormat="1" ht="42.75" customHeight="1">
      <c r="C98" s="25" t="s">
        <v>537</v>
      </c>
      <c r="D98" s="25" t="s">
        <v>536</v>
      </c>
      <c r="E98" s="25" t="s">
        <v>133</v>
      </c>
      <c r="F98" s="35" t="s">
        <v>582</v>
      </c>
      <c r="G98" s="97">
        <f>H98+K98</f>
        <v>1544716</v>
      </c>
      <c r="H98" s="148">
        <f>SUM(H99:H102)</f>
        <v>1544716</v>
      </c>
      <c r="I98" s="148">
        <f aca="true" t="shared" si="34" ref="I98:Q98">SUM(I99:I102)</f>
        <v>1189934</v>
      </c>
      <c r="J98" s="148">
        <f t="shared" si="34"/>
        <v>23320</v>
      </c>
      <c r="K98" s="148">
        <f t="shared" si="34"/>
        <v>0</v>
      </c>
      <c r="L98" s="148">
        <f t="shared" si="34"/>
        <v>0</v>
      </c>
      <c r="M98" s="148">
        <f t="shared" si="34"/>
        <v>0</v>
      </c>
      <c r="N98" s="148">
        <f t="shared" si="34"/>
        <v>0</v>
      </c>
      <c r="O98" s="148">
        <f t="shared" si="34"/>
        <v>0</v>
      </c>
      <c r="P98" s="148">
        <f t="shared" si="34"/>
        <v>0</v>
      </c>
      <c r="Q98" s="148">
        <f t="shared" si="34"/>
        <v>0</v>
      </c>
      <c r="R98" s="98">
        <f t="shared" si="31"/>
        <v>1544716</v>
      </c>
      <c r="S98" s="39"/>
      <c r="T98" s="9"/>
    </row>
    <row r="99" spans="3:20" s="6" customFormat="1" ht="45" customHeight="1">
      <c r="C99" s="10"/>
      <c r="D99" s="10"/>
      <c r="E99" s="10"/>
      <c r="F99" s="36" t="s">
        <v>660</v>
      </c>
      <c r="G99" s="97">
        <f t="shared" si="30"/>
        <v>1236371</v>
      </c>
      <c r="H99" s="148">
        <v>1236371</v>
      </c>
      <c r="I99" s="148">
        <v>1011348</v>
      </c>
      <c r="J99" s="148"/>
      <c r="K99" s="148"/>
      <c r="L99" s="97">
        <f t="shared" si="33"/>
        <v>0</v>
      </c>
      <c r="M99" s="101"/>
      <c r="N99" s="150"/>
      <c r="O99" s="150"/>
      <c r="P99" s="150"/>
      <c r="Q99" s="97">
        <f t="shared" si="22"/>
        <v>0</v>
      </c>
      <c r="R99" s="98">
        <f t="shared" si="31"/>
        <v>1236371</v>
      </c>
      <c r="S99" s="39"/>
      <c r="T99" s="9"/>
    </row>
    <row r="100" spans="3:20" s="6" customFormat="1" ht="36" customHeight="1">
      <c r="C100" s="10"/>
      <c r="D100" s="10"/>
      <c r="E100" s="10"/>
      <c r="F100" s="36" t="s">
        <v>562</v>
      </c>
      <c r="G100" s="97">
        <f t="shared" si="30"/>
        <v>263345</v>
      </c>
      <c r="H100" s="148">
        <f>68933+191662+750+66200+2000-66200</f>
        <v>263345</v>
      </c>
      <c r="I100" s="148">
        <f>20666+157920</f>
        <v>178586</v>
      </c>
      <c r="J100" s="148">
        <v>23320</v>
      </c>
      <c r="K100" s="148"/>
      <c r="L100" s="97">
        <f t="shared" si="33"/>
        <v>0</v>
      </c>
      <c r="M100" s="97"/>
      <c r="N100" s="148"/>
      <c r="O100" s="148"/>
      <c r="P100" s="148"/>
      <c r="Q100" s="97">
        <f t="shared" si="22"/>
        <v>0</v>
      </c>
      <c r="R100" s="98">
        <f t="shared" si="31"/>
        <v>263345</v>
      </c>
      <c r="S100" s="39"/>
      <c r="T100" s="9"/>
    </row>
    <row r="101" spans="3:20" s="6" customFormat="1" ht="62.25" customHeight="1">
      <c r="C101" s="10"/>
      <c r="D101" s="10"/>
      <c r="E101" s="10"/>
      <c r="F101" s="36" t="s">
        <v>597</v>
      </c>
      <c r="G101" s="97">
        <f t="shared" si="30"/>
        <v>10000</v>
      </c>
      <c r="H101" s="148">
        <v>10000</v>
      </c>
      <c r="I101" s="148"/>
      <c r="J101" s="148"/>
      <c r="K101" s="148"/>
      <c r="L101" s="97">
        <f t="shared" si="33"/>
        <v>0</v>
      </c>
      <c r="M101" s="97"/>
      <c r="N101" s="148"/>
      <c r="O101" s="148"/>
      <c r="P101" s="148"/>
      <c r="Q101" s="97">
        <f>M101</f>
        <v>0</v>
      </c>
      <c r="R101" s="98">
        <f>L101+G101</f>
        <v>10000</v>
      </c>
      <c r="S101" s="39"/>
      <c r="T101" s="9"/>
    </row>
    <row r="102" spans="3:20" s="6" customFormat="1" ht="62.25" customHeight="1">
      <c r="C102" s="10"/>
      <c r="D102" s="10"/>
      <c r="E102" s="10"/>
      <c r="F102" s="36" t="s">
        <v>661</v>
      </c>
      <c r="G102" s="97">
        <f t="shared" si="30"/>
        <v>35000</v>
      </c>
      <c r="H102" s="148">
        <v>35000</v>
      </c>
      <c r="I102" s="148"/>
      <c r="J102" s="148"/>
      <c r="K102" s="148"/>
      <c r="L102" s="97">
        <f t="shared" si="33"/>
        <v>0</v>
      </c>
      <c r="M102" s="97"/>
      <c r="N102" s="148"/>
      <c r="O102" s="148"/>
      <c r="P102" s="148"/>
      <c r="Q102" s="97"/>
      <c r="R102" s="98">
        <f t="shared" si="31"/>
        <v>35000</v>
      </c>
      <c r="S102" s="39"/>
      <c r="T102" s="9"/>
    </row>
    <row r="103" spans="3:20" s="5" customFormat="1" ht="26.25" customHeight="1" hidden="1">
      <c r="C103" s="25" t="s">
        <v>376</v>
      </c>
      <c r="D103" s="25" t="s">
        <v>374</v>
      </c>
      <c r="E103" s="25" t="s">
        <v>156</v>
      </c>
      <c r="F103" s="31" t="s">
        <v>229</v>
      </c>
      <c r="G103" s="97">
        <f>H103+K103</f>
        <v>0</v>
      </c>
      <c r="H103" s="149">
        <f>H104</f>
        <v>0</v>
      </c>
      <c r="I103" s="149">
        <f aca="true" t="shared" si="35" ref="I103:P103">I104</f>
        <v>0</v>
      </c>
      <c r="J103" s="149">
        <f t="shared" si="35"/>
        <v>0</v>
      </c>
      <c r="K103" s="149">
        <f t="shared" si="35"/>
        <v>0</v>
      </c>
      <c r="L103" s="97">
        <f t="shared" si="33"/>
        <v>0</v>
      </c>
      <c r="M103" s="149">
        <f t="shared" si="35"/>
        <v>0</v>
      </c>
      <c r="N103" s="149">
        <f t="shared" si="35"/>
        <v>0</v>
      </c>
      <c r="O103" s="149">
        <f t="shared" si="35"/>
        <v>0</v>
      </c>
      <c r="P103" s="149">
        <f t="shared" si="35"/>
        <v>0</v>
      </c>
      <c r="Q103" s="97">
        <f t="shared" si="22"/>
        <v>0</v>
      </c>
      <c r="R103" s="98">
        <f t="shared" si="31"/>
        <v>0</v>
      </c>
      <c r="S103" s="4"/>
      <c r="T103" s="4"/>
    </row>
    <row r="104" spans="3:20" s="6" customFormat="1" ht="32.25" customHeight="1" hidden="1">
      <c r="C104" s="10"/>
      <c r="D104" s="10"/>
      <c r="E104" s="10"/>
      <c r="F104" s="32" t="s">
        <v>519</v>
      </c>
      <c r="G104" s="97">
        <f>H104+K104</f>
        <v>0</v>
      </c>
      <c r="H104" s="97"/>
      <c r="I104" s="97"/>
      <c r="J104" s="97"/>
      <c r="K104" s="97"/>
      <c r="L104" s="97">
        <f t="shared" si="33"/>
        <v>0</v>
      </c>
      <c r="M104" s="101"/>
      <c r="N104" s="145"/>
      <c r="O104" s="101"/>
      <c r="P104" s="101"/>
      <c r="Q104" s="97">
        <f t="shared" si="22"/>
        <v>0</v>
      </c>
      <c r="R104" s="98">
        <f t="shared" si="31"/>
        <v>0</v>
      </c>
      <c r="S104" s="9"/>
      <c r="T104" s="9"/>
    </row>
    <row r="105" spans="3:20" s="6" customFormat="1" ht="32.25" customHeight="1" hidden="1">
      <c r="C105" s="10"/>
      <c r="D105" s="10"/>
      <c r="E105" s="10"/>
      <c r="F105" s="32"/>
      <c r="G105" s="97"/>
      <c r="H105" s="97"/>
      <c r="I105" s="97"/>
      <c r="J105" s="97"/>
      <c r="K105" s="97"/>
      <c r="L105" s="97"/>
      <c r="M105" s="101"/>
      <c r="N105" s="145"/>
      <c r="O105" s="101"/>
      <c r="P105" s="101"/>
      <c r="Q105" s="97">
        <f t="shared" si="22"/>
        <v>0</v>
      </c>
      <c r="R105" s="98"/>
      <c r="S105" s="9"/>
      <c r="T105" s="9"/>
    </row>
    <row r="106" spans="3:20" s="13" customFormat="1" ht="48" customHeight="1">
      <c r="C106" s="25" t="s">
        <v>496</v>
      </c>
      <c r="D106" s="25" t="s">
        <v>497</v>
      </c>
      <c r="E106" s="25" t="s">
        <v>124</v>
      </c>
      <c r="F106" s="34" t="s">
        <v>498</v>
      </c>
      <c r="G106" s="97">
        <f t="shared" si="30"/>
        <v>0</v>
      </c>
      <c r="H106" s="149">
        <f>H107</f>
        <v>0</v>
      </c>
      <c r="I106" s="149">
        <f>I107</f>
        <v>0</v>
      </c>
      <c r="J106" s="149">
        <f>J107</f>
        <v>0</v>
      </c>
      <c r="K106" s="149">
        <f>K107</f>
        <v>0</v>
      </c>
      <c r="L106" s="97">
        <f t="shared" si="33"/>
        <v>170000</v>
      </c>
      <c r="M106" s="149">
        <f>M108</f>
        <v>170000</v>
      </c>
      <c r="N106" s="149">
        <f>N107</f>
        <v>0</v>
      </c>
      <c r="O106" s="149">
        <f>O107</f>
        <v>0</v>
      </c>
      <c r="P106" s="149">
        <f>P107</f>
        <v>0</v>
      </c>
      <c r="Q106" s="97">
        <f t="shared" si="22"/>
        <v>170000</v>
      </c>
      <c r="R106" s="98">
        <f>L106+G106</f>
        <v>170000</v>
      </c>
      <c r="S106" s="4"/>
      <c r="T106" s="4"/>
    </row>
    <row r="107" spans="3:20" s="13" customFormat="1" ht="4.5" customHeight="1" hidden="1">
      <c r="C107" s="10"/>
      <c r="D107" s="10"/>
      <c r="E107" s="10"/>
      <c r="F107" s="26" t="s">
        <v>662</v>
      </c>
      <c r="G107" s="97">
        <f t="shared" si="30"/>
        <v>0</v>
      </c>
      <c r="H107" s="98"/>
      <c r="I107" s="98"/>
      <c r="J107" s="98"/>
      <c r="K107" s="98"/>
      <c r="L107" s="97">
        <f>N107+Q107</f>
        <v>0</v>
      </c>
      <c r="M107" s="97"/>
      <c r="N107" s="98"/>
      <c r="O107" s="98"/>
      <c r="P107" s="98"/>
      <c r="Q107" s="97">
        <f>M107</f>
        <v>0</v>
      </c>
      <c r="R107" s="98">
        <f>L107+G107</f>
        <v>0</v>
      </c>
      <c r="S107" s="4"/>
      <c r="T107" s="4"/>
    </row>
    <row r="108" spans="3:20" s="13" customFormat="1" ht="52.5" customHeight="1">
      <c r="C108" s="10"/>
      <c r="D108" s="10"/>
      <c r="E108" s="10"/>
      <c r="F108" s="26" t="s">
        <v>663</v>
      </c>
      <c r="G108" s="97">
        <f t="shared" si="30"/>
        <v>0</v>
      </c>
      <c r="H108" s="98"/>
      <c r="I108" s="98"/>
      <c r="J108" s="98"/>
      <c r="K108" s="98"/>
      <c r="L108" s="97">
        <f>N108+Q108</f>
        <v>170000</v>
      </c>
      <c r="M108" s="97">
        <v>170000</v>
      </c>
      <c r="N108" s="98"/>
      <c r="O108" s="98"/>
      <c r="P108" s="98"/>
      <c r="Q108" s="97">
        <f>M108</f>
        <v>170000</v>
      </c>
      <c r="R108" s="98">
        <f>L108+G108</f>
        <v>170000</v>
      </c>
      <c r="S108" s="4"/>
      <c r="T108" s="4"/>
    </row>
    <row r="109" spans="2:20" s="5" customFormat="1" ht="100.5" customHeight="1" hidden="1">
      <c r="B109" s="5">
        <v>20</v>
      </c>
      <c r="C109" s="25" t="s">
        <v>380</v>
      </c>
      <c r="D109" s="25" t="s">
        <v>378</v>
      </c>
      <c r="E109" s="25" t="s">
        <v>124</v>
      </c>
      <c r="F109" s="34" t="s">
        <v>379</v>
      </c>
      <c r="G109" s="97">
        <f t="shared" si="30"/>
        <v>0</v>
      </c>
      <c r="H109" s="97"/>
      <c r="I109" s="97"/>
      <c r="J109" s="97"/>
      <c r="K109" s="97"/>
      <c r="L109" s="97">
        <f t="shared" si="33"/>
        <v>0</v>
      </c>
      <c r="M109" s="97"/>
      <c r="N109" s="97"/>
      <c r="O109" s="97"/>
      <c r="P109" s="97"/>
      <c r="Q109" s="97">
        <f t="shared" si="22"/>
        <v>0</v>
      </c>
      <c r="R109" s="98">
        <f>L109+G109</f>
        <v>0</v>
      </c>
      <c r="S109" s="4"/>
      <c r="T109" s="4"/>
    </row>
    <row r="110" spans="3:20" s="5" customFormat="1" ht="10.5" customHeight="1" hidden="1">
      <c r="C110" s="20" t="s">
        <v>68</v>
      </c>
      <c r="D110" s="20" t="s">
        <v>33</v>
      </c>
      <c r="E110" s="20"/>
      <c r="F110" s="22" t="s">
        <v>34</v>
      </c>
      <c r="G110" s="97"/>
      <c r="H110" s="97"/>
      <c r="I110" s="97"/>
      <c r="J110" s="97"/>
      <c r="K110" s="97"/>
      <c r="L110" s="97"/>
      <c r="M110" s="97"/>
      <c r="N110" s="97"/>
      <c r="O110" s="97"/>
      <c r="P110" s="97"/>
      <c r="Q110" s="97">
        <f t="shared" si="22"/>
        <v>0</v>
      </c>
      <c r="R110" s="98"/>
      <c r="S110" s="4"/>
      <c r="T110" s="4"/>
    </row>
    <row r="111" spans="3:20" s="6" customFormat="1" ht="36" customHeight="1">
      <c r="C111" s="18" t="s">
        <v>491</v>
      </c>
      <c r="D111" s="18" t="s">
        <v>272</v>
      </c>
      <c r="E111" s="18" t="s">
        <v>122</v>
      </c>
      <c r="F111" s="59" t="s">
        <v>492</v>
      </c>
      <c r="G111" s="97">
        <f t="shared" si="30"/>
        <v>30846</v>
      </c>
      <c r="H111" s="97">
        <f>H112</f>
        <v>0</v>
      </c>
      <c r="I111" s="97">
        <f aca="true" t="shared" si="36" ref="I111:P111">I112</f>
        <v>0</v>
      </c>
      <c r="J111" s="97">
        <f t="shared" si="36"/>
        <v>0</v>
      </c>
      <c r="K111" s="97">
        <f t="shared" si="36"/>
        <v>30846</v>
      </c>
      <c r="L111" s="97">
        <f t="shared" si="33"/>
        <v>0</v>
      </c>
      <c r="M111" s="97">
        <f t="shared" si="36"/>
        <v>0</v>
      </c>
      <c r="N111" s="97">
        <f t="shared" si="36"/>
        <v>0</v>
      </c>
      <c r="O111" s="97">
        <f t="shared" si="36"/>
        <v>0</v>
      </c>
      <c r="P111" s="97">
        <f t="shared" si="36"/>
        <v>0</v>
      </c>
      <c r="Q111" s="97">
        <f t="shared" si="22"/>
        <v>0</v>
      </c>
      <c r="R111" s="98">
        <f>L111+G111</f>
        <v>30846</v>
      </c>
      <c r="S111" s="4"/>
      <c r="T111" s="4"/>
    </row>
    <row r="112" spans="3:20" s="6" customFormat="1" ht="73.5" customHeight="1">
      <c r="C112" s="18"/>
      <c r="D112" s="18"/>
      <c r="E112" s="18"/>
      <c r="F112" s="139" t="s">
        <v>664</v>
      </c>
      <c r="G112" s="97">
        <f t="shared" si="30"/>
        <v>30846</v>
      </c>
      <c r="H112" s="97"/>
      <c r="I112" s="97"/>
      <c r="J112" s="97"/>
      <c r="K112" s="97">
        <v>30846</v>
      </c>
      <c r="L112" s="97">
        <f t="shared" si="33"/>
        <v>0</v>
      </c>
      <c r="M112" s="97"/>
      <c r="N112" s="97"/>
      <c r="O112" s="97"/>
      <c r="P112" s="97"/>
      <c r="Q112" s="97">
        <f t="shared" si="22"/>
        <v>0</v>
      </c>
      <c r="R112" s="98">
        <f>L112+G112</f>
        <v>30846</v>
      </c>
      <c r="S112" s="4"/>
      <c r="T112" s="4"/>
    </row>
    <row r="113" spans="3:22" s="5" customFormat="1" ht="40.5" customHeight="1">
      <c r="C113" s="25"/>
      <c r="D113" s="25"/>
      <c r="E113" s="25"/>
      <c r="F113" s="45" t="s">
        <v>101</v>
      </c>
      <c r="G113" s="98">
        <f aca="true" t="shared" si="37" ref="G113:R113">G48+G53+G58+G77+G83+G88+G95+G103+G106+G109+G111+G98</f>
        <v>194849369.23</v>
      </c>
      <c r="H113" s="98">
        <f t="shared" si="37"/>
        <v>194818523.23</v>
      </c>
      <c r="I113" s="98">
        <f t="shared" si="37"/>
        <v>127430054.14</v>
      </c>
      <c r="J113" s="98">
        <f t="shared" si="37"/>
        <v>12266100</v>
      </c>
      <c r="K113" s="98">
        <f t="shared" si="37"/>
        <v>30846</v>
      </c>
      <c r="L113" s="98">
        <f>L48+L53+L58+L77+L83+L88+L95+L103+L106+L109+L111+L98</f>
        <v>11336527</v>
      </c>
      <c r="M113" s="98">
        <f t="shared" si="37"/>
        <v>2810709</v>
      </c>
      <c r="N113" s="98">
        <f t="shared" si="37"/>
        <v>8359118</v>
      </c>
      <c r="O113" s="98">
        <f t="shared" si="37"/>
        <v>1154883</v>
      </c>
      <c r="P113" s="98">
        <f t="shared" si="37"/>
        <v>118954</v>
      </c>
      <c r="Q113" s="98">
        <f t="shared" si="37"/>
        <v>2977409</v>
      </c>
      <c r="R113" s="98">
        <f t="shared" si="37"/>
        <v>206185896.23</v>
      </c>
      <c r="S113" s="66"/>
      <c r="T113" s="23"/>
      <c r="U113" s="12"/>
      <c r="V113" s="12"/>
    </row>
    <row r="114" spans="3:48" s="5" customFormat="1" ht="42.75" customHeight="1">
      <c r="C114" s="20" t="s">
        <v>201</v>
      </c>
      <c r="D114" s="20"/>
      <c r="E114" s="20"/>
      <c r="F114" s="22" t="s">
        <v>37</v>
      </c>
      <c r="G114" s="97"/>
      <c r="H114" s="97"/>
      <c r="I114" s="97"/>
      <c r="J114" s="97"/>
      <c r="K114" s="97"/>
      <c r="L114" s="97"/>
      <c r="M114" s="97"/>
      <c r="N114" s="97"/>
      <c r="O114" s="97"/>
      <c r="P114" s="97"/>
      <c r="Q114" s="97"/>
      <c r="R114" s="98"/>
      <c r="S114" s="4"/>
      <c r="T114" s="4"/>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row>
    <row r="115" spans="3:48" s="6" customFormat="1" ht="45" customHeight="1">
      <c r="C115" s="25" t="s">
        <v>202</v>
      </c>
      <c r="D115" s="21"/>
      <c r="E115" s="21"/>
      <c r="F115" s="34" t="s">
        <v>37</v>
      </c>
      <c r="G115" s="101"/>
      <c r="H115" s="101"/>
      <c r="I115" s="101"/>
      <c r="J115" s="101"/>
      <c r="K115" s="101"/>
      <c r="L115" s="101"/>
      <c r="M115" s="101"/>
      <c r="N115" s="101"/>
      <c r="O115" s="101"/>
      <c r="P115" s="101"/>
      <c r="Q115" s="101"/>
      <c r="R115" s="147"/>
      <c r="S115" s="9"/>
      <c r="T115" s="9"/>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3:48" s="6" customFormat="1" ht="37.5" customHeight="1">
      <c r="C116" s="10"/>
      <c r="D116" s="10"/>
      <c r="E116" s="10"/>
      <c r="F116" s="26" t="s">
        <v>97</v>
      </c>
      <c r="G116" s="101">
        <f>G123+G131+G126+G128+G142+G143+G150+G161+G163+G164+G165+G166+G177+G178+G179+G180+G181+G182+G183+G186+G187+G188+G189+G190+G222+G231+G234+G184+G191+G192+G148+G145+G144</f>
        <v>9180628.129999999</v>
      </c>
      <c r="H116" s="101">
        <f>H123+H131+H126+H128+H142+H143+H150+H161+H163+H164+H165+H166+H177+H178+H179+H180+H181+H182+H183+H186+H187+H188+H189+H190+H222+H231+H234+H184+H191+H192+H148+H145+H144</f>
        <v>9180628.129999999</v>
      </c>
      <c r="I116" s="101">
        <f>I123+I131+I126+I128+I142+I143+I150+I161+I163+I164+I165+I166+I177+I178+I179+I180+I181+I182+I183+I186+I187+I188+I189+I190+I222+I231+I234+I184+I191+I192+I148+I145+I144</f>
        <v>0</v>
      </c>
      <c r="J116" s="101">
        <f>J123+J131+J126+J128+J142+J143+J150+J161+J163+J164+J165+J166+J177+J178+J179+J180+J181+J182+J183+J186+J187+J188+J189+J190+J222+J231+J234+J184+J191+J192+J148+J145+J144</f>
        <v>0</v>
      </c>
      <c r="K116" s="101">
        <f>K123+K131+K126+K128+K142+K143+K150+K161+K163+K164+K165+K166+K177+K178+K179+K180+K181+K182+K183+K186+K187+K188+K189+K190+K222+K231+K234+K184+K191+K192+K148+K145+K144</f>
        <v>0</v>
      </c>
      <c r="L116" s="101">
        <f>L123+L131+L126+L128+L142+L143+L150+L161+L163+L164+L165+L166+L177+L178+L179+L180+L181+L182+L183+L186+L187+L188+L189+L190+L222+L231+L234+L184+L191+L192+L148+L145+L144</f>
        <v>346001.56</v>
      </c>
      <c r="M116" s="101">
        <f aca="true" t="shared" si="38" ref="M116:R116">M123+M131+M126+M128+M142+M143+M150+M161+M163+M164+M165+M166+M177+M178++M179+M180+M181+M182+M183+M186+M187+M188+M189+M190+M222+M231+M234+M184+M191+M192+M148+M145+M144</f>
        <v>346001.56</v>
      </c>
      <c r="N116" s="101">
        <f t="shared" si="38"/>
        <v>0</v>
      </c>
      <c r="O116" s="101">
        <f t="shared" si="38"/>
        <v>0</v>
      </c>
      <c r="P116" s="101">
        <f t="shared" si="38"/>
        <v>0</v>
      </c>
      <c r="Q116" s="101">
        <f t="shared" si="38"/>
        <v>346001.56</v>
      </c>
      <c r="R116" s="101">
        <f t="shared" si="38"/>
        <v>9526629.69</v>
      </c>
      <c r="S116" s="9"/>
      <c r="T116" s="47"/>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row>
    <row r="117" spans="3:48" s="6" customFormat="1" ht="29.25" customHeight="1">
      <c r="C117" s="20" t="s">
        <v>40</v>
      </c>
      <c r="D117" s="20" t="s">
        <v>22</v>
      </c>
      <c r="E117" s="10"/>
      <c r="F117" s="22" t="s">
        <v>23</v>
      </c>
      <c r="G117" s="98">
        <f>G118</f>
        <v>9260310</v>
      </c>
      <c r="H117" s="98">
        <f aca="true" t="shared" si="39" ref="H117:R117">H118</f>
        <v>9260310</v>
      </c>
      <c r="I117" s="98">
        <f t="shared" si="39"/>
        <v>7106700</v>
      </c>
      <c r="J117" s="98">
        <f t="shared" si="39"/>
        <v>115700</v>
      </c>
      <c r="K117" s="98">
        <f t="shared" si="39"/>
        <v>0</v>
      </c>
      <c r="L117" s="98">
        <f>L118</f>
        <v>0</v>
      </c>
      <c r="M117" s="98">
        <f t="shared" si="39"/>
        <v>0</v>
      </c>
      <c r="N117" s="98">
        <f t="shared" si="39"/>
        <v>0</v>
      </c>
      <c r="O117" s="98">
        <f t="shared" si="39"/>
        <v>0</v>
      </c>
      <c r="P117" s="98">
        <f t="shared" si="39"/>
        <v>0</v>
      </c>
      <c r="Q117" s="98">
        <f>Q118</f>
        <v>0</v>
      </c>
      <c r="R117" s="98">
        <f t="shared" si="39"/>
        <v>9260310</v>
      </c>
      <c r="S117" s="9"/>
      <c r="T117" s="47"/>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row>
    <row r="118" spans="1:20" s="5" customFormat="1" ht="57.75" customHeight="1">
      <c r="A118" s="5">
        <v>3</v>
      </c>
      <c r="B118" s="5">
        <v>18</v>
      </c>
      <c r="C118" s="25" t="s">
        <v>203</v>
      </c>
      <c r="D118" s="25" t="s">
        <v>126</v>
      </c>
      <c r="E118" s="25" t="s">
        <v>123</v>
      </c>
      <c r="F118" s="34" t="s">
        <v>204</v>
      </c>
      <c r="G118" s="97">
        <f aca="true" t="shared" si="40" ref="G118:G129">H118+K118</f>
        <v>9260310</v>
      </c>
      <c r="H118" s="97">
        <f>SUM(H119:H120)</f>
        <v>9260310</v>
      </c>
      <c r="I118" s="97">
        <f aca="true" t="shared" si="41" ref="I118:P118">SUM(I119:I120)</f>
        <v>7106700</v>
      </c>
      <c r="J118" s="97">
        <f t="shared" si="41"/>
        <v>115700</v>
      </c>
      <c r="K118" s="97">
        <f t="shared" si="41"/>
        <v>0</v>
      </c>
      <c r="L118" s="97">
        <f>SUM(L119:L120)</f>
        <v>0</v>
      </c>
      <c r="M118" s="97">
        <f>SUM(M119:M120)</f>
        <v>0</v>
      </c>
      <c r="N118" s="97">
        <f t="shared" si="41"/>
        <v>0</v>
      </c>
      <c r="O118" s="97">
        <f t="shared" si="41"/>
        <v>0</v>
      </c>
      <c r="P118" s="97">
        <f t="shared" si="41"/>
        <v>0</v>
      </c>
      <c r="Q118" s="97">
        <f>SUM(Q119:Q120)</f>
        <v>0</v>
      </c>
      <c r="R118" s="98">
        <f aca="true" t="shared" si="42" ref="R118:R153">L118+G118</f>
        <v>9260310</v>
      </c>
      <c r="S118" s="4"/>
      <c r="T118" s="4"/>
    </row>
    <row r="119" spans="3:20" s="5" customFormat="1" ht="34.5" customHeight="1">
      <c r="C119" s="25"/>
      <c r="D119" s="25"/>
      <c r="E119" s="25"/>
      <c r="F119" s="26" t="s">
        <v>600</v>
      </c>
      <c r="G119" s="97">
        <f>H119+K119</f>
        <v>9193610</v>
      </c>
      <c r="H119" s="97">
        <f>8621300+24000+548310</f>
        <v>9193610</v>
      </c>
      <c r="I119" s="97">
        <f>6647700+459000</f>
        <v>7106700</v>
      </c>
      <c r="J119" s="97">
        <f>160200-44500</f>
        <v>115700</v>
      </c>
      <c r="K119" s="97"/>
      <c r="L119" s="97">
        <f>N119+Q119</f>
        <v>0</v>
      </c>
      <c r="M119" s="97"/>
      <c r="N119" s="97"/>
      <c r="O119" s="97"/>
      <c r="P119" s="97"/>
      <c r="Q119" s="97">
        <f>M119</f>
        <v>0</v>
      </c>
      <c r="R119" s="98">
        <f t="shared" si="42"/>
        <v>9193610</v>
      </c>
      <c r="S119" s="64"/>
      <c r="T119" s="4"/>
    </row>
    <row r="120" spans="3:20" s="5" customFormat="1" ht="57.75" customHeight="1">
      <c r="C120" s="25"/>
      <c r="D120" s="25"/>
      <c r="E120" s="25"/>
      <c r="F120" s="26" t="s">
        <v>597</v>
      </c>
      <c r="G120" s="97">
        <f t="shared" si="40"/>
        <v>66700</v>
      </c>
      <c r="H120" s="97">
        <f>90150-23450</f>
        <v>66700</v>
      </c>
      <c r="I120" s="97"/>
      <c r="J120" s="97"/>
      <c r="K120" s="97"/>
      <c r="L120" s="97">
        <f>N120+Q120</f>
        <v>0</v>
      </c>
      <c r="M120" s="97"/>
      <c r="N120" s="97"/>
      <c r="O120" s="97"/>
      <c r="P120" s="97"/>
      <c r="Q120" s="97">
        <f>M120</f>
        <v>0</v>
      </c>
      <c r="R120" s="98">
        <f t="shared" si="42"/>
        <v>66700</v>
      </c>
      <c r="S120" s="4"/>
      <c r="T120" s="4"/>
    </row>
    <row r="121" spans="3:20" s="13" customFormat="1" ht="34.5" customHeight="1">
      <c r="C121" s="44" t="s">
        <v>70</v>
      </c>
      <c r="D121" s="44" t="s">
        <v>71</v>
      </c>
      <c r="E121" s="44"/>
      <c r="F121" s="48" t="s">
        <v>301</v>
      </c>
      <c r="G121" s="98">
        <f>H121+K121</f>
        <v>39488069.53</v>
      </c>
      <c r="H121" s="98">
        <f aca="true" t="shared" si="43" ref="H121:Q121">H122+H130+H137+H138+H139+H140+H149+H150+H153+H151</f>
        <v>39488069.53</v>
      </c>
      <c r="I121" s="98">
        <f t="shared" si="43"/>
        <v>0</v>
      </c>
      <c r="J121" s="98">
        <f t="shared" si="43"/>
        <v>0</v>
      </c>
      <c r="K121" s="98">
        <f t="shared" si="43"/>
        <v>0</v>
      </c>
      <c r="L121" s="98">
        <f t="shared" si="43"/>
        <v>8378861.159999999</v>
      </c>
      <c r="M121" s="98">
        <f t="shared" si="43"/>
        <v>8378861.159999999</v>
      </c>
      <c r="N121" s="98">
        <f t="shared" si="43"/>
        <v>0</v>
      </c>
      <c r="O121" s="98">
        <f t="shared" si="43"/>
        <v>0</v>
      </c>
      <c r="P121" s="98">
        <f t="shared" si="43"/>
        <v>0</v>
      </c>
      <c r="Q121" s="98">
        <f t="shared" si="43"/>
        <v>8378861.159999999</v>
      </c>
      <c r="R121" s="98">
        <f t="shared" si="42"/>
        <v>47866930.69</v>
      </c>
      <c r="S121" s="23"/>
      <c r="T121" s="23"/>
    </row>
    <row r="122" spans="3:21" s="5" customFormat="1" ht="49.5" customHeight="1">
      <c r="C122" s="18" t="s">
        <v>230</v>
      </c>
      <c r="D122" s="18" t="s">
        <v>191</v>
      </c>
      <c r="E122" s="18" t="s">
        <v>192</v>
      </c>
      <c r="F122" s="37" t="s">
        <v>423</v>
      </c>
      <c r="G122" s="97">
        <f t="shared" si="40"/>
        <v>31713639.4</v>
      </c>
      <c r="H122" s="149">
        <f>SUM(H123:H129)</f>
        <v>31713639.4</v>
      </c>
      <c r="I122" s="149">
        <f>SUM(I123:I129)</f>
        <v>0</v>
      </c>
      <c r="J122" s="149">
        <f>SUM(J123:J129)</f>
        <v>0</v>
      </c>
      <c r="K122" s="149">
        <f>SUM(K123:K129)</f>
        <v>0</v>
      </c>
      <c r="L122" s="97">
        <f>N122+Q122</f>
        <v>8276861.159999999</v>
      </c>
      <c r="M122" s="149">
        <f>SUM(M123:M129)</f>
        <v>8276861.159999999</v>
      </c>
      <c r="N122" s="149">
        <f>SUM(N123:N129)</f>
        <v>0</v>
      </c>
      <c r="O122" s="149">
        <f>SUM(O123:O129)</f>
        <v>0</v>
      </c>
      <c r="P122" s="149">
        <f>SUM(P123:P129)</f>
        <v>0</v>
      </c>
      <c r="Q122" s="149">
        <f>SUM(Q123:Q129)</f>
        <v>8276861.159999999</v>
      </c>
      <c r="R122" s="98">
        <f t="shared" si="42"/>
        <v>39990500.559999995</v>
      </c>
      <c r="S122" s="4"/>
      <c r="T122" s="4"/>
      <c r="U122" s="12"/>
    </row>
    <row r="123" spans="3:21" s="6" customFormat="1" ht="25.5" customHeight="1">
      <c r="C123" s="43"/>
      <c r="D123" s="43"/>
      <c r="E123" s="43"/>
      <c r="F123" s="49" t="s">
        <v>665</v>
      </c>
      <c r="G123" s="97">
        <f t="shared" si="40"/>
        <v>7787500</v>
      </c>
      <c r="H123" s="97">
        <v>7787500</v>
      </c>
      <c r="I123" s="97"/>
      <c r="J123" s="97"/>
      <c r="K123" s="97"/>
      <c r="L123" s="97">
        <f aca="true" t="shared" si="44" ref="L123:L129">N123+Q123</f>
        <v>0</v>
      </c>
      <c r="M123" s="101"/>
      <c r="N123" s="145"/>
      <c r="O123" s="101"/>
      <c r="P123" s="101"/>
      <c r="Q123" s="101"/>
      <c r="R123" s="98">
        <f t="shared" si="42"/>
        <v>7787500</v>
      </c>
      <c r="S123" s="9"/>
      <c r="T123" s="9"/>
      <c r="U123" s="40"/>
    </row>
    <row r="124" spans="3:21" s="6" customFormat="1" ht="54" customHeight="1">
      <c r="C124" s="43"/>
      <c r="D124" s="43"/>
      <c r="E124" s="43"/>
      <c r="F124" s="49" t="s">
        <v>585</v>
      </c>
      <c r="G124" s="97">
        <f>H124+K124</f>
        <v>18042947.4</v>
      </c>
      <c r="H124" s="97">
        <f>12679900+262100+1000000+2155600+1830602+114745.4</f>
        <v>18042947.4</v>
      </c>
      <c r="I124" s="97"/>
      <c r="J124" s="97"/>
      <c r="K124" s="97"/>
      <c r="L124" s="97">
        <f>N124+Q124</f>
        <v>1292251.6</v>
      </c>
      <c r="M124" s="97">
        <f>553000+237900+26699+589398-114745.4</f>
        <v>1292251.6</v>
      </c>
      <c r="N124" s="97"/>
      <c r="O124" s="97"/>
      <c r="P124" s="97"/>
      <c r="Q124" s="97">
        <f>M124</f>
        <v>1292251.6</v>
      </c>
      <c r="R124" s="98">
        <f t="shared" si="42"/>
        <v>19335199</v>
      </c>
      <c r="S124" s="9"/>
      <c r="T124" s="9"/>
      <c r="U124" s="40"/>
    </row>
    <row r="125" spans="3:21" s="6" customFormat="1" ht="57" customHeight="1">
      <c r="C125" s="43"/>
      <c r="D125" s="43"/>
      <c r="E125" s="43"/>
      <c r="F125" s="49" t="s">
        <v>445</v>
      </c>
      <c r="G125" s="97">
        <f>H125+K125</f>
        <v>5295892</v>
      </c>
      <c r="H125" s="97">
        <f>91799+602410+486230+772976+3342477</f>
        <v>5295892</v>
      </c>
      <c r="I125" s="97"/>
      <c r="J125" s="97"/>
      <c r="K125" s="97"/>
      <c r="L125" s="97">
        <f>N125+Q125</f>
        <v>6550655</v>
      </c>
      <c r="M125" s="97">
        <f>6829760-167929-111176</f>
        <v>6550655</v>
      </c>
      <c r="N125" s="97"/>
      <c r="O125" s="97"/>
      <c r="P125" s="97"/>
      <c r="Q125" s="97">
        <f>M125</f>
        <v>6550655</v>
      </c>
      <c r="R125" s="98">
        <f t="shared" si="42"/>
        <v>11846547</v>
      </c>
      <c r="S125" s="9"/>
      <c r="T125" s="9"/>
      <c r="U125" s="40"/>
    </row>
    <row r="126" spans="3:21" s="6" customFormat="1" ht="40.5" customHeight="1">
      <c r="C126" s="43"/>
      <c r="D126" s="43"/>
      <c r="E126" s="43"/>
      <c r="F126" s="49" t="s">
        <v>666</v>
      </c>
      <c r="G126" s="97">
        <f t="shared" si="40"/>
        <v>0</v>
      </c>
      <c r="H126" s="97"/>
      <c r="I126" s="97"/>
      <c r="J126" s="97"/>
      <c r="K126" s="97"/>
      <c r="L126" s="97">
        <f t="shared" si="44"/>
        <v>5459.6</v>
      </c>
      <c r="M126" s="97">
        <f>5459.6</f>
        <v>5459.6</v>
      </c>
      <c r="N126" s="146"/>
      <c r="O126" s="97"/>
      <c r="P126" s="97"/>
      <c r="Q126" s="97">
        <f aca="true" t="shared" si="45" ref="Q126:Q200">M126</f>
        <v>5459.6</v>
      </c>
      <c r="R126" s="98">
        <f t="shared" si="42"/>
        <v>5459.6</v>
      </c>
      <c r="S126" s="9"/>
      <c r="T126" s="9"/>
      <c r="U126" s="40"/>
    </row>
    <row r="127" spans="3:21" s="6" customFormat="1" ht="75" customHeight="1">
      <c r="C127" s="43"/>
      <c r="D127" s="43"/>
      <c r="E127" s="43"/>
      <c r="F127" s="49" t="s">
        <v>667</v>
      </c>
      <c r="G127" s="97">
        <f t="shared" si="40"/>
        <v>570000</v>
      </c>
      <c r="H127" s="97">
        <v>570000</v>
      </c>
      <c r="I127" s="97"/>
      <c r="J127" s="97"/>
      <c r="K127" s="97"/>
      <c r="L127" s="97">
        <f t="shared" si="44"/>
        <v>0</v>
      </c>
      <c r="M127" s="101"/>
      <c r="N127" s="145"/>
      <c r="O127" s="101"/>
      <c r="P127" s="101"/>
      <c r="Q127" s="97">
        <f t="shared" si="45"/>
        <v>0</v>
      </c>
      <c r="R127" s="98">
        <f t="shared" si="42"/>
        <v>570000</v>
      </c>
      <c r="S127" s="9"/>
      <c r="T127" s="9"/>
      <c r="U127" s="40"/>
    </row>
    <row r="128" spans="3:21" s="6" customFormat="1" ht="51.75" customHeight="1">
      <c r="C128" s="43"/>
      <c r="D128" s="43"/>
      <c r="E128" s="43"/>
      <c r="F128" s="49" t="s">
        <v>668</v>
      </c>
      <c r="G128" s="97">
        <f t="shared" si="40"/>
        <v>0</v>
      </c>
      <c r="H128" s="97"/>
      <c r="I128" s="97"/>
      <c r="J128" s="97"/>
      <c r="K128" s="97"/>
      <c r="L128" s="97">
        <f t="shared" si="44"/>
        <v>340541.96</v>
      </c>
      <c r="M128" s="97">
        <v>340541.96</v>
      </c>
      <c r="N128" s="145"/>
      <c r="O128" s="101"/>
      <c r="P128" s="101"/>
      <c r="Q128" s="97">
        <f t="shared" si="45"/>
        <v>340541.96</v>
      </c>
      <c r="R128" s="98">
        <f t="shared" si="42"/>
        <v>340541.96</v>
      </c>
      <c r="S128" s="9"/>
      <c r="T128" s="9"/>
      <c r="U128" s="40"/>
    </row>
    <row r="129" spans="3:22" s="6" customFormat="1" ht="42" customHeight="1">
      <c r="C129" s="43"/>
      <c r="D129" s="43"/>
      <c r="E129" s="43"/>
      <c r="F129" s="49" t="s">
        <v>493</v>
      </c>
      <c r="G129" s="97">
        <f t="shared" si="40"/>
        <v>17300</v>
      </c>
      <c r="H129" s="97">
        <f>10800+6500</f>
        <v>17300</v>
      </c>
      <c r="I129" s="97"/>
      <c r="J129" s="97"/>
      <c r="K129" s="97"/>
      <c r="L129" s="97">
        <f t="shared" si="44"/>
        <v>87953</v>
      </c>
      <c r="M129" s="97">
        <f>10200+77753</f>
        <v>87953</v>
      </c>
      <c r="N129" s="97"/>
      <c r="O129" s="97"/>
      <c r="P129" s="97"/>
      <c r="Q129" s="97">
        <f t="shared" si="45"/>
        <v>87953</v>
      </c>
      <c r="R129" s="98">
        <f t="shared" si="42"/>
        <v>105253</v>
      </c>
      <c r="S129" s="9"/>
      <c r="T129" s="9"/>
      <c r="U129" s="40"/>
      <c r="V129" s="40"/>
    </row>
    <row r="130" spans="3:22" s="5" customFormat="1" ht="43.5" customHeight="1">
      <c r="C130" s="18" t="s">
        <v>355</v>
      </c>
      <c r="D130" s="18" t="s">
        <v>356</v>
      </c>
      <c r="E130" s="18" t="s">
        <v>357</v>
      </c>
      <c r="F130" s="50" t="s">
        <v>358</v>
      </c>
      <c r="G130" s="97">
        <f aca="true" t="shared" si="46" ref="G130:G136">H130+K130</f>
        <v>4246449</v>
      </c>
      <c r="H130" s="149">
        <f>SUM(H131:H136)</f>
        <v>4246449</v>
      </c>
      <c r="I130" s="149">
        <f aca="true" t="shared" si="47" ref="I130:P130">SUM(I131:I134)</f>
        <v>0</v>
      </c>
      <c r="J130" s="149">
        <f t="shared" si="47"/>
        <v>0</v>
      </c>
      <c r="K130" s="149">
        <f t="shared" si="47"/>
        <v>0</v>
      </c>
      <c r="L130" s="97">
        <f aca="true" t="shared" si="48" ref="L130:L136">N130+Q130</f>
        <v>87000</v>
      </c>
      <c r="M130" s="149">
        <f>SUM(M131:M136)</f>
        <v>87000</v>
      </c>
      <c r="N130" s="149">
        <f t="shared" si="47"/>
        <v>0</v>
      </c>
      <c r="O130" s="149">
        <f t="shared" si="47"/>
        <v>0</v>
      </c>
      <c r="P130" s="149">
        <f t="shared" si="47"/>
        <v>0</v>
      </c>
      <c r="Q130" s="97">
        <f t="shared" si="45"/>
        <v>87000</v>
      </c>
      <c r="R130" s="98">
        <f t="shared" si="42"/>
        <v>4333449</v>
      </c>
      <c r="S130" s="4"/>
      <c r="T130" s="4"/>
      <c r="U130" s="12"/>
      <c r="V130" s="12"/>
    </row>
    <row r="131" spans="3:22" s="6" customFormat="1" ht="15.75" customHeight="1" hidden="1">
      <c r="C131" s="18"/>
      <c r="D131" s="18"/>
      <c r="E131" s="18"/>
      <c r="F131" s="49" t="s">
        <v>665</v>
      </c>
      <c r="G131" s="97">
        <f t="shared" si="46"/>
        <v>0</v>
      </c>
      <c r="H131" s="97"/>
      <c r="I131" s="97"/>
      <c r="J131" s="97"/>
      <c r="K131" s="97"/>
      <c r="L131" s="97">
        <f t="shared" si="48"/>
        <v>0</v>
      </c>
      <c r="M131" s="101"/>
      <c r="N131" s="145"/>
      <c r="O131" s="101"/>
      <c r="P131" s="101"/>
      <c r="Q131" s="97">
        <f t="shared" si="45"/>
        <v>0</v>
      </c>
      <c r="R131" s="98">
        <f t="shared" si="42"/>
        <v>0</v>
      </c>
      <c r="S131" s="9"/>
      <c r="T131" s="9"/>
      <c r="U131" s="40"/>
      <c r="V131" s="40"/>
    </row>
    <row r="132" spans="3:22" s="6" customFormat="1" ht="54" customHeight="1">
      <c r="C132" s="18"/>
      <c r="D132" s="18"/>
      <c r="E132" s="18"/>
      <c r="F132" s="49" t="s">
        <v>445</v>
      </c>
      <c r="G132" s="97">
        <f t="shared" si="46"/>
        <v>3570449</v>
      </c>
      <c r="H132" s="97">
        <f>225389+1819760-44000+613800+955500</f>
        <v>3570449</v>
      </c>
      <c r="I132" s="97"/>
      <c r="J132" s="97"/>
      <c r="K132" s="97"/>
      <c r="L132" s="97">
        <f t="shared" si="48"/>
        <v>87000</v>
      </c>
      <c r="M132" s="97">
        <f>44000+43000</f>
        <v>87000</v>
      </c>
      <c r="N132" s="145"/>
      <c r="O132" s="101"/>
      <c r="P132" s="101"/>
      <c r="Q132" s="97">
        <f t="shared" si="45"/>
        <v>87000</v>
      </c>
      <c r="R132" s="98">
        <f t="shared" si="42"/>
        <v>3657449</v>
      </c>
      <c r="S132" s="9"/>
      <c r="T132" s="9"/>
      <c r="U132" s="40"/>
      <c r="V132" s="40"/>
    </row>
    <row r="133" spans="3:22" s="6" customFormat="1" ht="66" customHeight="1">
      <c r="C133" s="18"/>
      <c r="D133" s="18"/>
      <c r="E133" s="18"/>
      <c r="F133" s="49" t="s">
        <v>621</v>
      </c>
      <c r="G133" s="97">
        <f t="shared" si="46"/>
        <v>433000</v>
      </c>
      <c r="H133" s="97">
        <v>433000</v>
      </c>
      <c r="I133" s="97"/>
      <c r="J133" s="97"/>
      <c r="K133" s="97"/>
      <c r="L133" s="97">
        <f t="shared" si="48"/>
        <v>0</v>
      </c>
      <c r="M133" s="97"/>
      <c r="N133" s="145"/>
      <c r="O133" s="101"/>
      <c r="P133" s="101"/>
      <c r="Q133" s="97">
        <f>M133</f>
        <v>0</v>
      </c>
      <c r="R133" s="98">
        <f>L133+G133</f>
        <v>433000</v>
      </c>
      <c r="S133" s="9"/>
      <c r="T133" s="9"/>
      <c r="U133" s="40"/>
      <c r="V133" s="40"/>
    </row>
    <row r="134" spans="3:22" s="6" customFormat="1" ht="50.25" customHeight="1">
      <c r="C134" s="43"/>
      <c r="D134" s="43"/>
      <c r="E134" s="43"/>
      <c r="F134" s="49" t="s">
        <v>522</v>
      </c>
      <c r="G134" s="97">
        <f t="shared" si="46"/>
        <v>138000</v>
      </c>
      <c r="H134" s="97">
        <f>41000+97000</f>
        <v>138000</v>
      </c>
      <c r="I134" s="97"/>
      <c r="J134" s="97"/>
      <c r="K134" s="97"/>
      <c r="L134" s="97">
        <f t="shared" si="48"/>
        <v>0</v>
      </c>
      <c r="M134" s="97"/>
      <c r="N134" s="97"/>
      <c r="O134" s="97"/>
      <c r="P134" s="97"/>
      <c r="Q134" s="97">
        <f t="shared" si="45"/>
        <v>0</v>
      </c>
      <c r="R134" s="98">
        <f t="shared" si="42"/>
        <v>138000</v>
      </c>
      <c r="S134" s="9"/>
      <c r="T134" s="9"/>
      <c r="U134" s="40"/>
      <c r="V134" s="40"/>
    </row>
    <row r="135" spans="3:22" s="6" customFormat="1" ht="50.25" customHeight="1">
      <c r="C135" s="43"/>
      <c r="D135" s="43"/>
      <c r="E135" s="43"/>
      <c r="F135" s="49" t="s">
        <v>669</v>
      </c>
      <c r="G135" s="97">
        <f t="shared" si="46"/>
        <v>105000</v>
      </c>
      <c r="H135" s="97">
        <v>105000</v>
      </c>
      <c r="I135" s="97"/>
      <c r="J135" s="97"/>
      <c r="K135" s="97"/>
      <c r="L135" s="97">
        <f t="shared" si="48"/>
        <v>0</v>
      </c>
      <c r="M135" s="97"/>
      <c r="N135" s="97"/>
      <c r="O135" s="97"/>
      <c r="P135" s="97"/>
      <c r="Q135" s="97">
        <f>M135</f>
        <v>0</v>
      </c>
      <c r="R135" s="98">
        <f>L135+G135</f>
        <v>105000</v>
      </c>
      <c r="S135" s="9"/>
      <c r="T135" s="9"/>
      <c r="U135" s="40"/>
      <c r="V135" s="40"/>
    </row>
    <row r="136" spans="3:22" s="6" customFormat="1" ht="33.75" customHeight="1">
      <c r="C136" s="43"/>
      <c r="D136" s="43"/>
      <c r="E136" s="43"/>
      <c r="F136" s="49" t="s">
        <v>493</v>
      </c>
      <c r="G136" s="97">
        <f t="shared" si="46"/>
        <v>0</v>
      </c>
      <c r="H136" s="97"/>
      <c r="I136" s="97"/>
      <c r="J136" s="97"/>
      <c r="K136" s="97"/>
      <c r="L136" s="97">
        <f t="shared" si="48"/>
        <v>0</v>
      </c>
      <c r="M136" s="97"/>
      <c r="N136" s="97"/>
      <c r="O136" s="97"/>
      <c r="P136" s="97"/>
      <c r="Q136" s="97">
        <f>M136</f>
        <v>0</v>
      </c>
      <c r="R136" s="98">
        <f>L136+G136</f>
        <v>0</v>
      </c>
      <c r="S136" s="9"/>
      <c r="T136" s="9"/>
      <c r="U136" s="40"/>
      <c r="V136" s="40"/>
    </row>
    <row r="137" spans="3:21" s="5" customFormat="1" ht="48.75" customHeight="1">
      <c r="C137" s="51" t="s">
        <v>273</v>
      </c>
      <c r="D137" s="51" t="s">
        <v>231</v>
      </c>
      <c r="E137" s="51" t="s">
        <v>138</v>
      </c>
      <c r="F137" s="34" t="s">
        <v>474</v>
      </c>
      <c r="G137" s="97">
        <f aca="true" t="shared" si="49" ref="G137:G161">H137+K137</f>
        <v>11520</v>
      </c>
      <c r="H137" s="97">
        <f>20500-8980</f>
        <v>11520</v>
      </c>
      <c r="I137" s="97"/>
      <c r="J137" s="97"/>
      <c r="K137" s="97"/>
      <c r="L137" s="97">
        <f aca="true" t="shared" si="50" ref="L137:L161">N137+Q137</f>
        <v>0</v>
      </c>
      <c r="M137" s="97"/>
      <c r="N137" s="146"/>
      <c r="O137" s="97"/>
      <c r="P137" s="97"/>
      <c r="Q137" s="97">
        <f t="shared" si="45"/>
        <v>0</v>
      </c>
      <c r="R137" s="98">
        <f t="shared" si="42"/>
        <v>11520</v>
      </c>
      <c r="S137" s="4"/>
      <c r="T137" s="4"/>
      <c r="U137" s="12"/>
    </row>
    <row r="138" spans="3:20" s="5" customFormat="1" ht="48.75" customHeight="1">
      <c r="C138" s="51" t="s">
        <v>274</v>
      </c>
      <c r="D138" s="51" t="s">
        <v>232</v>
      </c>
      <c r="E138" s="51" t="s">
        <v>138</v>
      </c>
      <c r="F138" s="50" t="s">
        <v>670</v>
      </c>
      <c r="G138" s="97">
        <f t="shared" si="49"/>
        <v>44946</v>
      </c>
      <c r="H138" s="97">
        <f>62400-8600-8854</f>
        <v>44946</v>
      </c>
      <c r="I138" s="97"/>
      <c r="J138" s="97"/>
      <c r="K138" s="97"/>
      <c r="L138" s="97">
        <f t="shared" si="50"/>
        <v>0</v>
      </c>
      <c r="M138" s="97"/>
      <c r="N138" s="146"/>
      <c r="O138" s="97"/>
      <c r="P138" s="97"/>
      <c r="Q138" s="97">
        <f t="shared" si="45"/>
        <v>0</v>
      </c>
      <c r="R138" s="98">
        <f t="shared" si="42"/>
        <v>44946</v>
      </c>
      <c r="S138" s="4"/>
      <c r="T138" s="4"/>
    </row>
    <row r="139" spans="3:20" s="5" customFormat="1" ht="48" customHeight="1">
      <c r="C139" s="51" t="s">
        <v>275</v>
      </c>
      <c r="D139" s="51" t="s">
        <v>233</v>
      </c>
      <c r="E139" s="51" t="s">
        <v>138</v>
      </c>
      <c r="F139" s="50" t="s">
        <v>475</v>
      </c>
      <c r="G139" s="97">
        <f t="shared" si="49"/>
        <v>11875</v>
      </c>
      <c r="H139" s="97">
        <f>39000-27125</f>
        <v>11875</v>
      </c>
      <c r="I139" s="97"/>
      <c r="J139" s="97"/>
      <c r="K139" s="97"/>
      <c r="L139" s="97">
        <f t="shared" si="50"/>
        <v>0</v>
      </c>
      <c r="M139" s="97"/>
      <c r="N139" s="146"/>
      <c r="O139" s="97"/>
      <c r="P139" s="97"/>
      <c r="Q139" s="97">
        <f t="shared" si="45"/>
        <v>0</v>
      </c>
      <c r="R139" s="98">
        <f t="shared" si="42"/>
        <v>11875</v>
      </c>
      <c r="S139" s="4"/>
      <c r="T139" s="4"/>
    </row>
    <row r="140" spans="3:20" s="5" customFormat="1" ht="39.75" customHeight="1">
      <c r="C140" s="51" t="s">
        <v>276</v>
      </c>
      <c r="D140" s="51" t="s">
        <v>235</v>
      </c>
      <c r="E140" s="51" t="s">
        <v>138</v>
      </c>
      <c r="F140" s="50" t="s">
        <v>234</v>
      </c>
      <c r="G140" s="97">
        <f t="shared" si="49"/>
        <v>2040128.13</v>
      </c>
      <c r="H140" s="149">
        <f>SUM(H141:H148)</f>
        <v>2040128.13</v>
      </c>
      <c r="I140" s="149">
        <f aca="true" t="shared" si="51" ref="I140:P140">SUM(I141:I143)</f>
        <v>0</v>
      </c>
      <c r="J140" s="149">
        <f t="shared" si="51"/>
        <v>0</v>
      </c>
      <c r="K140" s="149">
        <f t="shared" si="51"/>
        <v>0</v>
      </c>
      <c r="L140" s="97">
        <f t="shared" si="50"/>
        <v>0</v>
      </c>
      <c r="M140" s="149">
        <f>SUM(M141:M143)</f>
        <v>0</v>
      </c>
      <c r="N140" s="149">
        <f t="shared" si="51"/>
        <v>0</v>
      </c>
      <c r="O140" s="149">
        <f t="shared" si="51"/>
        <v>0</v>
      </c>
      <c r="P140" s="149">
        <f t="shared" si="51"/>
        <v>0</v>
      </c>
      <c r="Q140" s="97">
        <f t="shared" si="45"/>
        <v>0</v>
      </c>
      <c r="R140" s="98">
        <f t="shared" si="42"/>
        <v>2040128.13</v>
      </c>
      <c r="S140" s="4"/>
      <c r="T140" s="4"/>
    </row>
    <row r="141" spans="3:20" s="5" customFormat="1" ht="41.25" customHeight="1" hidden="1">
      <c r="C141" s="52"/>
      <c r="D141" s="52"/>
      <c r="E141" s="52"/>
      <c r="F141" s="49" t="s">
        <v>535</v>
      </c>
      <c r="G141" s="97">
        <f t="shared" si="49"/>
        <v>0</v>
      </c>
      <c r="H141" s="97"/>
      <c r="I141" s="97"/>
      <c r="J141" s="97"/>
      <c r="K141" s="97"/>
      <c r="L141" s="97">
        <f t="shared" si="50"/>
        <v>0</v>
      </c>
      <c r="M141" s="97"/>
      <c r="N141" s="146"/>
      <c r="O141" s="97"/>
      <c r="P141" s="97"/>
      <c r="Q141" s="97">
        <f t="shared" si="45"/>
        <v>0</v>
      </c>
      <c r="R141" s="98">
        <f t="shared" si="42"/>
        <v>0</v>
      </c>
      <c r="S141" s="4"/>
      <c r="T141" s="9"/>
    </row>
    <row r="142" spans="3:20" s="5" customFormat="1" ht="36" customHeight="1" hidden="1">
      <c r="C142" s="52"/>
      <c r="D142" s="52"/>
      <c r="E142" s="52"/>
      <c r="F142" s="49" t="s">
        <v>671</v>
      </c>
      <c r="G142" s="97">
        <f t="shared" si="49"/>
        <v>0</v>
      </c>
      <c r="H142" s="97"/>
      <c r="I142" s="97"/>
      <c r="J142" s="97"/>
      <c r="K142" s="97"/>
      <c r="L142" s="97">
        <f t="shared" si="50"/>
        <v>0</v>
      </c>
      <c r="M142" s="101"/>
      <c r="N142" s="146"/>
      <c r="O142" s="97"/>
      <c r="P142" s="97"/>
      <c r="Q142" s="97">
        <f t="shared" si="45"/>
        <v>0</v>
      </c>
      <c r="R142" s="98">
        <f t="shared" si="42"/>
        <v>0</v>
      </c>
      <c r="S142" s="4"/>
      <c r="T142" s="9"/>
    </row>
    <row r="143" spans="3:20" s="5" customFormat="1" ht="75" customHeight="1">
      <c r="C143" s="52"/>
      <c r="D143" s="52"/>
      <c r="E143" s="52"/>
      <c r="F143" s="49" t="s">
        <v>672</v>
      </c>
      <c r="G143" s="97">
        <f t="shared" si="49"/>
        <v>220500</v>
      </c>
      <c r="H143" s="97">
        <v>220500</v>
      </c>
      <c r="I143" s="97"/>
      <c r="J143" s="97"/>
      <c r="K143" s="97"/>
      <c r="L143" s="97">
        <f t="shared" si="50"/>
        <v>0</v>
      </c>
      <c r="M143" s="101"/>
      <c r="N143" s="146"/>
      <c r="O143" s="97"/>
      <c r="P143" s="97"/>
      <c r="Q143" s="97">
        <f t="shared" si="45"/>
        <v>0</v>
      </c>
      <c r="R143" s="98">
        <f t="shared" si="42"/>
        <v>220500</v>
      </c>
      <c r="S143" s="4"/>
      <c r="T143" s="9"/>
    </row>
    <row r="144" spans="3:20" s="5" customFormat="1" ht="55.5" customHeight="1">
      <c r="C144" s="52"/>
      <c r="D144" s="52"/>
      <c r="E144" s="52"/>
      <c r="F144" s="49" t="s">
        <v>673</v>
      </c>
      <c r="G144" s="97">
        <f t="shared" si="49"/>
        <v>1021900</v>
      </c>
      <c r="H144" s="97">
        <f>678800+343100</f>
        <v>1021900</v>
      </c>
      <c r="I144" s="97"/>
      <c r="J144" s="97"/>
      <c r="K144" s="97"/>
      <c r="L144" s="97">
        <f t="shared" si="50"/>
        <v>0</v>
      </c>
      <c r="M144" s="101"/>
      <c r="N144" s="146"/>
      <c r="O144" s="97"/>
      <c r="P144" s="97"/>
      <c r="Q144" s="97">
        <f>M144</f>
        <v>0</v>
      </c>
      <c r="R144" s="98">
        <f t="shared" si="42"/>
        <v>1021900</v>
      </c>
      <c r="S144" s="4"/>
      <c r="T144" s="9"/>
    </row>
    <row r="145" spans="3:20" s="5" customFormat="1" ht="49.5" customHeight="1">
      <c r="C145" s="52"/>
      <c r="D145" s="52"/>
      <c r="E145" s="52"/>
      <c r="F145" s="49" t="s">
        <v>668</v>
      </c>
      <c r="G145" s="97">
        <f t="shared" si="49"/>
        <v>150728.13</v>
      </c>
      <c r="H145" s="97">
        <f>491270.09-340541.96</f>
        <v>150728.13</v>
      </c>
      <c r="I145" s="97"/>
      <c r="J145" s="97"/>
      <c r="K145" s="97"/>
      <c r="L145" s="97">
        <f t="shared" si="50"/>
        <v>0</v>
      </c>
      <c r="M145" s="101"/>
      <c r="N145" s="146"/>
      <c r="O145" s="97"/>
      <c r="P145" s="97"/>
      <c r="Q145" s="97">
        <f t="shared" si="45"/>
        <v>0</v>
      </c>
      <c r="R145" s="98">
        <f t="shared" si="42"/>
        <v>150728.13</v>
      </c>
      <c r="S145" s="4"/>
      <c r="T145" s="9"/>
    </row>
    <row r="146" spans="3:20" s="5" customFormat="1" ht="33.75" customHeight="1">
      <c r="C146" s="52"/>
      <c r="D146" s="52"/>
      <c r="E146" s="52"/>
      <c r="F146" s="49" t="s">
        <v>586</v>
      </c>
      <c r="G146" s="97">
        <f t="shared" si="49"/>
        <v>647000</v>
      </c>
      <c r="H146" s="97">
        <f>150000+90000+21000+386000</f>
        <v>647000</v>
      </c>
      <c r="I146" s="97"/>
      <c r="J146" s="97"/>
      <c r="K146" s="97"/>
      <c r="L146" s="97">
        <f t="shared" si="50"/>
        <v>0</v>
      </c>
      <c r="M146" s="101"/>
      <c r="N146" s="146"/>
      <c r="O146" s="97"/>
      <c r="P146" s="97"/>
      <c r="Q146" s="97">
        <f t="shared" si="45"/>
        <v>0</v>
      </c>
      <c r="R146" s="98">
        <f t="shared" si="42"/>
        <v>647000</v>
      </c>
      <c r="S146" s="4"/>
      <c r="T146" s="9"/>
    </row>
    <row r="147" spans="3:20" s="5" customFormat="1" ht="54" customHeight="1" hidden="1">
      <c r="C147" s="52"/>
      <c r="D147" s="52"/>
      <c r="E147" s="52"/>
      <c r="F147" s="49" t="s">
        <v>674</v>
      </c>
      <c r="G147" s="97">
        <f>H147+K147</f>
        <v>0</v>
      </c>
      <c r="H147" s="97"/>
      <c r="I147" s="97"/>
      <c r="J147" s="97"/>
      <c r="K147" s="97"/>
      <c r="L147" s="97">
        <f t="shared" si="50"/>
        <v>0</v>
      </c>
      <c r="M147" s="101"/>
      <c r="N147" s="146"/>
      <c r="O147" s="97"/>
      <c r="P147" s="97"/>
      <c r="Q147" s="97">
        <f t="shared" si="45"/>
        <v>0</v>
      </c>
      <c r="R147" s="98">
        <f t="shared" si="42"/>
        <v>0</v>
      </c>
      <c r="S147" s="4"/>
      <c r="T147" s="9"/>
    </row>
    <row r="148" spans="3:20" s="5" customFormat="1" ht="3" customHeight="1" hidden="1">
      <c r="C148" s="52"/>
      <c r="D148" s="52"/>
      <c r="E148" s="52"/>
      <c r="F148" s="49" t="s">
        <v>675</v>
      </c>
      <c r="G148" s="97">
        <f t="shared" si="49"/>
        <v>0</v>
      </c>
      <c r="H148" s="97"/>
      <c r="I148" s="97"/>
      <c r="J148" s="97"/>
      <c r="K148" s="97"/>
      <c r="L148" s="97">
        <f t="shared" si="50"/>
        <v>0</v>
      </c>
      <c r="M148" s="101"/>
      <c r="N148" s="146"/>
      <c r="O148" s="97"/>
      <c r="P148" s="97"/>
      <c r="Q148" s="97">
        <f t="shared" si="45"/>
        <v>0</v>
      </c>
      <c r="R148" s="98">
        <f t="shared" si="42"/>
        <v>0</v>
      </c>
      <c r="S148" s="4"/>
      <c r="T148" s="9"/>
    </row>
    <row r="149" spans="3:20" s="5" customFormat="1" ht="57.75" customHeight="1">
      <c r="C149" s="51" t="s">
        <v>349</v>
      </c>
      <c r="D149" s="51" t="s">
        <v>236</v>
      </c>
      <c r="E149" s="51" t="s">
        <v>138</v>
      </c>
      <c r="F149" s="50" t="s">
        <v>587</v>
      </c>
      <c r="G149" s="97">
        <f t="shared" si="49"/>
        <v>355000</v>
      </c>
      <c r="H149" s="97">
        <f>414000+30000-89000</f>
        <v>355000</v>
      </c>
      <c r="I149" s="97"/>
      <c r="J149" s="97"/>
      <c r="K149" s="97"/>
      <c r="L149" s="97">
        <f t="shared" si="50"/>
        <v>0</v>
      </c>
      <c r="M149" s="97"/>
      <c r="N149" s="146"/>
      <c r="O149" s="97"/>
      <c r="P149" s="97"/>
      <c r="Q149" s="97">
        <f t="shared" si="45"/>
        <v>0</v>
      </c>
      <c r="R149" s="98">
        <f t="shared" si="42"/>
        <v>355000</v>
      </c>
      <c r="S149" s="4"/>
      <c r="T149" s="4"/>
    </row>
    <row r="150" spans="3:20" s="5" customFormat="1" ht="66" customHeight="1" hidden="1">
      <c r="C150" s="51" t="s">
        <v>488</v>
      </c>
      <c r="D150" s="51" t="s">
        <v>489</v>
      </c>
      <c r="E150" s="51" t="s">
        <v>138</v>
      </c>
      <c r="F150" s="50" t="s">
        <v>676</v>
      </c>
      <c r="G150" s="97">
        <f t="shared" si="49"/>
        <v>0</v>
      </c>
      <c r="H150" s="97"/>
      <c r="I150" s="97"/>
      <c r="J150" s="97"/>
      <c r="K150" s="97"/>
      <c r="L150" s="97">
        <f t="shared" si="50"/>
        <v>0</v>
      </c>
      <c r="M150" s="97"/>
      <c r="N150" s="146"/>
      <c r="O150" s="97"/>
      <c r="P150" s="97"/>
      <c r="Q150" s="97">
        <f t="shared" si="45"/>
        <v>0</v>
      </c>
      <c r="R150" s="98">
        <f t="shared" si="42"/>
        <v>0</v>
      </c>
      <c r="S150" s="4"/>
      <c r="T150" s="4"/>
    </row>
    <row r="151" spans="3:20" s="5" customFormat="1" ht="36.75" customHeight="1">
      <c r="C151" s="51" t="s">
        <v>360</v>
      </c>
      <c r="D151" s="51" t="s">
        <v>635</v>
      </c>
      <c r="E151" s="51" t="s">
        <v>138</v>
      </c>
      <c r="F151" s="50" t="s">
        <v>361</v>
      </c>
      <c r="G151" s="148">
        <f t="shared" si="49"/>
        <v>9546</v>
      </c>
      <c r="H151" s="97">
        <f>H152</f>
        <v>9546</v>
      </c>
      <c r="I151" s="97">
        <f aca="true" t="shared" si="52" ref="I151:P151">I152</f>
        <v>0</v>
      </c>
      <c r="J151" s="97">
        <f t="shared" si="52"/>
        <v>0</v>
      </c>
      <c r="K151" s="97">
        <f t="shared" si="52"/>
        <v>0</v>
      </c>
      <c r="L151" s="97">
        <f t="shared" si="50"/>
        <v>15000</v>
      </c>
      <c r="M151" s="97">
        <f t="shared" si="52"/>
        <v>15000</v>
      </c>
      <c r="N151" s="97">
        <f t="shared" si="52"/>
        <v>0</v>
      </c>
      <c r="O151" s="97">
        <f t="shared" si="52"/>
        <v>0</v>
      </c>
      <c r="P151" s="97">
        <f t="shared" si="52"/>
        <v>0</v>
      </c>
      <c r="Q151" s="97">
        <f t="shared" si="45"/>
        <v>15000</v>
      </c>
      <c r="R151" s="98">
        <f t="shared" si="42"/>
        <v>24546</v>
      </c>
      <c r="S151" s="4"/>
      <c r="T151" s="4"/>
    </row>
    <row r="152" spans="3:20" s="5" customFormat="1" ht="42" customHeight="1">
      <c r="C152" s="51"/>
      <c r="D152" s="51"/>
      <c r="E152" s="51"/>
      <c r="F152" s="49" t="s">
        <v>634</v>
      </c>
      <c r="G152" s="148">
        <f t="shared" si="49"/>
        <v>9546</v>
      </c>
      <c r="H152" s="97">
        <v>9546</v>
      </c>
      <c r="I152" s="97"/>
      <c r="J152" s="97"/>
      <c r="K152" s="97"/>
      <c r="L152" s="97">
        <f t="shared" si="50"/>
        <v>15000</v>
      </c>
      <c r="M152" s="97">
        <v>15000</v>
      </c>
      <c r="N152" s="97"/>
      <c r="O152" s="97"/>
      <c r="P152" s="97"/>
      <c r="Q152" s="97">
        <f>M152</f>
        <v>15000</v>
      </c>
      <c r="R152" s="98">
        <f>L152+G152</f>
        <v>24546</v>
      </c>
      <c r="S152" s="4"/>
      <c r="T152" s="4"/>
    </row>
    <row r="153" spans="3:20" s="5" customFormat="1" ht="30.75" customHeight="1">
      <c r="C153" s="51" t="s">
        <v>359</v>
      </c>
      <c r="D153" s="51" t="s">
        <v>410</v>
      </c>
      <c r="E153" s="51" t="s">
        <v>138</v>
      </c>
      <c r="F153" s="50" t="s">
        <v>362</v>
      </c>
      <c r="G153" s="148">
        <f t="shared" si="49"/>
        <v>1054966</v>
      </c>
      <c r="H153" s="149">
        <f>SUM(H154:H161)</f>
        <v>1054966</v>
      </c>
      <c r="I153" s="149">
        <f aca="true" t="shared" si="53" ref="I153:P153">SUM(I154:I161)</f>
        <v>0</v>
      </c>
      <c r="J153" s="149">
        <f t="shared" si="53"/>
        <v>0</v>
      </c>
      <c r="K153" s="149">
        <f t="shared" si="53"/>
        <v>0</v>
      </c>
      <c r="L153" s="97">
        <f t="shared" si="50"/>
        <v>0</v>
      </c>
      <c r="M153" s="149">
        <f t="shared" si="53"/>
        <v>0</v>
      </c>
      <c r="N153" s="149">
        <f t="shared" si="53"/>
        <v>0</v>
      </c>
      <c r="O153" s="149">
        <f t="shared" si="53"/>
        <v>0</v>
      </c>
      <c r="P153" s="149">
        <f t="shared" si="53"/>
        <v>0</v>
      </c>
      <c r="Q153" s="97">
        <f t="shared" si="45"/>
        <v>0</v>
      </c>
      <c r="R153" s="98">
        <f t="shared" si="42"/>
        <v>1054966</v>
      </c>
      <c r="S153" s="4"/>
      <c r="T153" s="4"/>
    </row>
    <row r="154" spans="3:20" s="5" customFormat="1" ht="56.25" customHeight="1">
      <c r="C154" s="51"/>
      <c r="D154" s="25"/>
      <c r="E154" s="25"/>
      <c r="F154" s="26" t="s">
        <v>476</v>
      </c>
      <c r="G154" s="97">
        <f t="shared" si="49"/>
        <v>229686</v>
      </c>
      <c r="H154" s="97">
        <f>152000+58285+53700-34299</f>
        <v>229686</v>
      </c>
      <c r="I154" s="97"/>
      <c r="J154" s="97"/>
      <c r="K154" s="97"/>
      <c r="L154" s="97">
        <f t="shared" si="50"/>
        <v>0</v>
      </c>
      <c r="M154" s="101"/>
      <c r="N154" s="146"/>
      <c r="O154" s="97"/>
      <c r="P154" s="97"/>
      <c r="Q154" s="97">
        <f t="shared" si="45"/>
        <v>0</v>
      </c>
      <c r="R154" s="98">
        <f aca="true" t="shared" si="54" ref="R154:R187">L154+G154</f>
        <v>229686</v>
      </c>
      <c r="S154" s="4"/>
      <c r="T154" s="4"/>
    </row>
    <row r="155" spans="3:20" s="5" customFormat="1" ht="53.25" customHeight="1">
      <c r="C155" s="51"/>
      <c r="D155" s="25"/>
      <c r="E155" s="51"/>
      <c r="F155" s="26" t="s">
        <v>477</v>
      </c>
      <c r="G155" s="97">
        <f t="shared" si="49"/>
        <v>31100</v>
      </c>
      <c r="H155" s="97">
        <f>72000-6000-34900</f>
        <v>31100</v>
      </c>
      <c r="I155" s="97"/>
      <c r="J155" s="97"/>
      <c r="K155" s="97"/>
      <c r="L155" s="97">
        <f t="shared" si="50"/>
        <v>0</v>
      </c>
      <c r="M155" s="101"/>
      <c r="N155" s="146"/>
      <c r="O155" s="97"/>
      <c r="P155" s="97"/>
      <c r="Q155" s="97">
        <f t="shared" si="45"/>
        <v>0</v>
      </c>
      <c r="R155" s="98">
        <f t="shared" si="54"/>
        <v>31100</v>
      </c>
      <c r="S155" s="4"/>
      <c r="T155" s="4"/>
    </row>
    <row r="156" spans="3:20" s="5" customFormat="1" ht="51.75" customHeight="1">
      <c r="C156" s="51"/>
      <c r="D156" s="25"/>
      <c r="E156" s="25"/>
      <c r="F156" s="26" t="s">
        <v>478</v>
      </c>
      <c r="G156" s="97">
        <f t="shared" si="49"/>
        <v>243326</v>
      </c>
      <c r="H156" s="97">
        <f>668000-150000-274674</f>
        <v>243326</v>
      </c>
      <c r="I156" s="97"/>
      <c r="J156" s="97"/>
      <c r="K156" s="97"/>
      <c r="L156" s="97">
        <f t="shared" si="50"/>
        <v>0</v>
      </c>
      <c r="M156" s="101"/>
      <c r="N156" s="146"/>
      <c r="O156" s="97"/>
      <c r="P156" s="97"/>
      <c r="Q156" s="97">
        <f t="shared" si="45"/>
        <v>0</v>
      </c>
      <c r="R156" s="98">
        <f t="shared" si="54"/>
        <v>243326</v>
      </c>
      <c r="S156" s="4"/>
      <c r="T156" s="4"/>
    </row>
    <row r="157" spans="3:20" s="5" customFormat="1" ht="51.75" customHeight="1">
      <c r="C157" s="51"/>
      <c r="D157" s="25"/>
      <c r="E157" s="25"/>
      <c r="F157" s="26" t="s">
        <v>508</v>
      </c>
      <c r="G157" s="97">
        <f t="shared" si="49"/>
        <v>236000</v>
      </c>
      <c r="H157" s="97">
        <f>95000+55200+85800</f>
        <v>236000</v>
      </c>
      <c r="I157" s="97"/>
      <c r="J157" s="97"/>
      <c r="K157" s="97"/>
      <c r="L157" s="97">
        <f t="shared" si="50"/>
        <v>0</v>
      </c>
      <c r="M157" s="101"/>
      <c r="N157" s="146"/>
      <c r="O157" s="97"/>
      <c r="P157" s="97"/>
      <c r="Q157" s="97">
        <f t="shared" si="45"/>
        <v>0</v>
      </c>
      <c r="R157" s="98">
        <f t="shared" si="54"/>
        <v>236000</v>
      </c>
      <c r="S157" s="4"/>
      <c r="T157" s="4"/>
    </row>
    <row r="158" spans="3:20" s="5" customFormat="1" ht="88.5" customHeight="1">
      <c r="C158" s="51"/>
      <c r="D158" s="25"/>
      <c r="E158" s="25"/>
      <c r="F158" s="26" t="s">
        <v>622</v>
      </c>
      <c r="G158" s="97">
        <f t="shared" si="49"/>
        <v>38941</v>
      </c>
      <c r="H158" s="97">
        <f>164400+10500-135959</f>
        <v>38941</v>
      </c>
      <c r="I158" s="97"/>
      <c r="J158" s="97"/>
      <c r="K158" s="97"/>
      <c r="L158" s="97">
        <f t="shared" si="50"/>
        <v>0</v>
      </c>
      <c r="M158" s="101"/>
      <c r="N158" s="146"/>
      <c r="O158" s="97"/>
      <c r="P158" s="97"/>
      <c r="Q158" s="97">
        <f>M158</f>
        <v>0</v>
      </c>
      <c r="R158" s="98">
        <f>L158+G158</f>
        <v>38941</v>
      </c>
      <c r="S158" s="4"/>
      <c r="T158" s="4"/>
    </row>
    <row r="159" spans="3:20" s="5" customFormat="1" ht="57" customHeight="1">
      <c r="C159" s="51"/>
      <c r="D159" s="25"/>
      <c r="E159" s="51"/>
      <c r="F159" s="26" t="s">
        <v>479</v>
      </c>
      <c r="G159" s="97">
        <f t="shared" si="49"/>
        <v>61913</v>
      </c>
      <c r="H159" s="97">
        <f>138600-76687</f>
        <v>61913</v>
      </c>
      <c r="I159" s="97"/>
      <c r="J159" s="97"/>
      <c r="K159" s="97"/>
      <c r="L159" s="97">
        <f t="shared" si="50"/>
        <v>0</v>
      </c>
      <c r="M159" s="101"/>
      <c r="N159" s="146"/>
      <c r="O159" s="97"/>
      <c r="P159" s="97"/>
      <c r="Q159" s="97">
        <f t="shared" si="45"/>
        <v>0</v>
      </c>
      <c r="R159" s="98">
        <f t="shared" si="54"/>
        <v>61913</v>
      </c>
      <c r="S159" s="4"/>
      <c r="T159" s="4"/>
    </row>
    <row r="160" spans="3:20" s="5" customFormat="1" ht="41.25" customHeight="1">
      <c r="C160" s="51"/>
      <c r="D160" s="25"/>
      <c r="E160" s="51"/>
      <c r="F160" s="26" t="s">
        <v>15</v>
      </c>
      <c r="G160" s="97">
        <f t="shared" si="49"/>
        <v>214000</v>
      </c>
      <c r="H160" s="97">
        <f>264000-21000-29000</f>
        <v>214000</v>
      </c>
      <c r="I160" s="97"/>
      <c r="J160" s="97"/>
      <c r="K160" s="97"/>
      <c r="L160" s="97">
        <f t="shared" si="50"/>
        <v>0</v>
      </c>
      <c r="M160" s="101"/>
      <c r="N160" s="146"/>
      <c r="O160" s="97"/>
      <c r="P160" s="97"/>
      <c r="Q160" s="97">
        <f t="shared" si="45"/>
        <v>0</v>
      </c>
      <c r="R160" s="98">
        <f t="shared" si="54"/>
        <v>214000</v>
      </c>
      <c r="S160" s="4"/>
      <c r="T160" s="4"/>
    </row>
    <row r="161" spans="3:20" s="5" customFormat="1" ht="53.25" customHeight="1" hidden="1">
      <c r="C161" s="51"/>
      <c r="D161" s="25"/>
      <c r="E161" s="51"/>
      <c r="F161" s="26" t="s">
        <v>677</v>
      </c>
      <c r="G161" s="97">
        <f t="shared" si="49"/>
        <v>0</v>
      </c>
      <c r="H161" s="97"/>
      <c r="I161" s="97"/>
      <c r="J161" s="97"/>
      <c r="K161" s="97"/>
      <c r="L161" s="97">
        <f t="shared" si="50"/>
        <v>0</v>
      </c>
      <c r="M161" s="101"/>
      <c r="N161" s="146"/>
      <c r="O161" s="97"/>
      <c r="P161" s="97"/>
      <c r="Q161" s="97">
        <f t="shared" si="45"/>
        <v>0</v>
      </c>
      <c r="R161" s="98">
        <f t="shared" si="54"/>
        <v>0</v>
      </c>
      <c r="S161" s="4"/>
      <c r="T161" s="4"/>
    </row>
    <row r="162" spans="3:20" s="13" customFormat="1" ht="29.25" customHeight="1">
      <c r="C162" s="53" t="s">
        <v>72</v>
      </c>
      <c r="D162" s="20" t="s">
        <v>302</v>
      </c>
      <c r="E162" s="53"/>
      <c r="F162" s="22" t="s">
        <v>303</v>
      </c>
      <c r="G162" s="98">
        <f>SUM(G163:G228)-G167-G170-G172-G176-G194-G200-G205-G207-G210-G213-G219-G223</f>
        <v>16542467</v>
      </c>
      <c r="H162" s="98">
        <f>SUM(H163:H228)-H167-H170-H172-H176-H194-H200-H205-H207-H210-H213-H219-H223</f>
        <v>16542467</v>
      </c>
      <c r="I162" s="98">
        <f aca="true" t="shared" si="55" ref="I162:P162">SUM(I163:I228)-I167-I171-I173-I176-I194-I200-I205-I207-I210-I213-I219-I223</f>
        <v>6091002</v>
      </c>
      <c r="J162" s="98">
        <f t="shared" si="55"/>
        <v>116300</v>
      </c>
      <c r="K162" s="98">
        <f t="shared" si="55"/>
        <v>0</v>
      </c>
      <c r="L162" s="98">
        <f t="shared" si="55"/>
        <v>1018550</v>
      </c>
      <c r="M162" s="98">
        <f>SUM(M163:M228)-M167-M171-M173-M176-M194-M200-M205-M207-M210-M213-M219-M223</f>
        <v>849000</v>
      </c>
      <c r="N162" s="98">
        <f t="shared" si="55"/>
        <v>169550</v>
      </c>
      <c r="O162" s="98">
        <f t="shared" si="55"/>
        <v>0</v>
      </c>
      <c r="P162" s="98">
        <f t="shared" si="55"/>
        <v>0</v>
      </c>
      <c r="Q162" s="98">
        <f t="shared" si="45"/>
        <v>849000</v>
      </c>
      <c r="R162" s="98">
        <f t="shared" si="54"/>
        <v>17561017</v>
      </c>
      <c r="S162" s="23"/>
      <c r="T162" s="23"/>
    </row>
    <row r="163" spans="3:20" s="5" customFormat="1" ht="59.25" customHeight="1" hidden="1">
      <c r="C163" s="25" t="s">
        <v>237</v>
      </c>
      <c r="D163" s="25" t="s">
        <v>178</v>
      </c>
      <c r="E163" s="25" t="s">
        <v>140</v>
      </c>
      <c r="F163" s="35" t="s">
        <v>678</v>
      </c>
      <c r="G163" s="97">
        <f aca="true" t="shared" si="56" ref="G163:G169">H163+K163</f>
        <v>0</v>
      </c>
      <c r="H163" s="97"/>
      <c r="I163" s="97"/>
      <c r="J163" s="97"/>
      <c r="K163" s="97"/>
      <c r="L163" s="97">
        <f aca="true" t="shared" si="57" ref="L163:L169">N163+Q163</f>
        <v>0</v>
      </c>
      <c r="M163" s="97"/>
      <c r="N163" s="146"/>
      <c r="O163" s="97"/>
      <c r="P163" s="97"/>
      <c r="Q163" s="97">
        <f t="shared" si="45"/>
        <v>0</v>
      </c>
      <c r="R163" s="98">
        <f t="shared" si="54"/>
        <v>0</v>
      </c>
      <c r="S163" s="4"/>
      <c r="T163" s="4"/>
    </row>
    <row r="164" spans="3:20" s="5" customFormat="1" ht="59.25" customHeight="1" hidden="1">
      <c r="C164" s="25" t="s">
        <v>238</v>
      </c>
      <c r="D164" s="25" t="s">
        <v>139</v>
      </c>
      <c r="E164" s="25" t="s">
        <v>137</v>
      </c>
      <c r="F164" s="34" t="s">
        <v>679</v>
      </c>
      <c r="G164" s="97">
        <f t="shared" si="56"/>
        <v>0</v>
      </c>
      <c r="H164" s="97"/>
      <c r="I164" s="97"/>
      <c r="J164" s="97"/>
      <c r="K164" s="97"/>
      <c r="L164" s="97">
        <f t="shared" si="57"/>
        <v>0</v>
      </c>
      <c r="M164" s="97"/>
      <c r="N164" s="146"/>
      <c r="O164" s="97"/>
      <c r="P164" s="97"/>
      <c r="Q164" s="97">
        <f t="shared" si="45"/>
        <v>0</v>
      </c>
      <c r="R164" s="98">
        <f t="shared" si="54"/>
        <v>0</v>
      </c>
      <c r="S164" s="4"/>
      <c r="T164" s="4"/>
    </row>
    <row r="165" spans="3:20" s="5" customFormat="1" ht="82.5" customHeight="1" hidden="1">
      <c r="C165" s="25" t="s">
        <v>239</v>
      </c>
      <c r="D165" s="25" t="s">
        <v>141</v>
      </c>
      <c r="E165" s="25" t="s">
        <v>140</v>
      </c>
      <c r="F165" s="35" t="s">
        <v>680</v>
      </c>
      <c r="G165" s="97">
        <f t="shared" si="56"/>
        <v>0</v>
      </c>
      <c r="H165" s="97"/>
      <c r="I165" s="97"/>
      <c r="J165" s="97"/>
      <c r="K165" s="97"/>
      <c r="L165" s="97">
        <f t="shared" si="57"/>
        <v>0</v>
      </c>
      <c r="M165" s="97"/>
      <c r="N165" s="146"/>
      <c r="O165" s="97"/>
      <c r="P165" s="97"/>
      <c r="Q165" s="97">
        <f t="shared" si="45"/>
        <v>0</v>
      </c>
      <c r="R165" s="98">
        <f t="shared" si="54"/>
        <v>0</v>
      </c>
      <c r="S165" s="4"/>
      <c r="T165" s="4"/>
    </row>
    <row r="166" spans="3:20" s="54" customFormat="1" ht="73.5" customHeight="1" hidden="1">
      <c r="C166" s="25" t="s">
        <v>240</v>
      </c>
      <c r="D166" s="25" t="s">
        <v>142</v>
      </c>
      <c r="E166" s="25" t="s">
        <v>137</v>
      </c>
      <c r="F166" s="34" t="s">
        <v>681</v>
      </c>
      <c r="G166" s="97">
        <f t="shared" si="56"/>
        <v>0</v>
      </c>
      <c r="H166" s="97"/>
      <c r="I166" s="97"/>
      <c r="J166" s="97"/>
      <c r="K166" s="97"/>
      <c r="L166" s="97">
        <f t="shared" si="57"/>
        <v>0</v>
      </c>
      <c r="M166" s="97"/>
      <c r="N166" s="146"/>
      <c r="O166" s="97"/>
      <c r="P166" s="97"/>
      <c r="Q166" s="97">
        <f t="shared" si="45"/>
        <v>0</v>
      </c>
      <c r="R166" s="98">
        <f t="shared" si="54"/>
        <v>0</v>
      </c>
      <c r="S166" s="4"/>
      <c r="T166" s="4"/>
    </row>
    <row r="167" spans="3:21" s="54" customFormat="1" ht="40.5" customHeight="1">
      <c r="C167" s="25" t="s">
        <v>243</v>
      </c>
      <c r="D167" s="25" t="s">
        <v>190</v>
      </c>
      <c r="E167" s="25" t="s">
        <v>140</v>
      </c>
      <c r="F167" s="34" t="s">
        <v>241</v>
      </c>
      <c r="G167" s="97">
        <f t="shared" si="56"/>
        <v>25000</v>
      </c>
      <c r="H167" s="149">
        <f>H168+H169</f>
        <v>25000</v>
      </c>
      <c r="I167" s="149">
        <f>I168+I169</f>
        <v>0</v>
      </c>
      <c r="J167" s="149">
        <f>J168+J169</f>
        <v>0</v>
      </c>
      <c r="K167" s="149">
        <f>K168+K169</f>
        <v>0</v>
      </c>
      <c r="L167" s="97">
        <f t="shared" si="57"/>
        <v>0</v>
      </c>
      <c r="M167" s="149">
        <f>M168+M169</f>
        <v>0</v>
      </c>
      <c r="N167" s="149">
        <f>N168+N169</f>
        <v>0</v>
      </c>
      <c r="O167" s="149">
        <f>O168+O169</f>
        <v>0</v>
      </c>
      <c r="P167" s="149">
        <f>P168+P169</f>
        <v>0</v>
      </c>
      <c r="Q167" s="97">
        <f t="shared" si="45"/>
        <v>0</v>
      </c>
      <c r="R167" s="98">
        <f t="shared" si="54"/>
        <v>25000</v>
      </c>
      <c r="S167" s="4"/>
      <c r="T167" s="4"/>
      <c r="U167" s="12"/>
    </row>
    <row r="168" spans="3:21" s="54" customFormat="1" ht="26.25" customHeight="1">
      <c r="C168" s="25"/>
      <c r="D168" s="25"/>
      <c r="E168" s="25"/>
      <c r="F168" s="36" t="s">
        <v>425</v>
      </c>
      <c r="G168" s="97">
        <f t="shared" si="56"/>
        <v>20000</v>
      </c>
      <c r="H168" s="97">
        <f>20000</f>
        <v>20000</v>
      </c>
      <c r="I168" s="101"/>
      <c r="J168" s="101"/>
      <c r="K168" s="101"/>
      <c r="L168" s="97">
        <f t="shared" si="57"/>
        <v>0</v>
      </c>
      <c r="M168" s="145"/>
      <c r="N168" s="145"/>
      <c r="O168" s="101"/>
      <c r="P168" s="101"/>
      <c r="Q168" s="97">
        <f t="shared" si="45"/>
        <v>0</v>
      </c>
      <c r="R168" s="98">
        <f t="shared" si="54"/>
        <v>20000</v>
      </c>
      <c r="S168" s="9"/>
      <c r="T168" s="9"/>
      <c r="U168" s="12"/>
    </row>
    <row r="169" spans="3:21" s="54" customFormat="1" ht="51" customHeight="1">
      <c r="C169" s="25"/>
      <c r="D169" s="25"/>
      <c r="E169" s="25"/>
      <c r="F169" s="36" t="s">
        <v>7</v>
      </c>
      <c r="G169" s="97">
        <f t="shared" si="56"/>
        <v>5000</v>
      </c>
      <c r="H169" s="97">
        <f>10000-5000</f>
        <v>5000</v>
      </c>
      <c r="I169" s="101"/>
      <c r="J169" s="101"/>
      <c r="K169" s="101"/>
      <c r="L169" s="97">
        <f t="shared" si="57"/>
        <v>0</v>
      </c>
      <c r="M169" s="145"/>
      <c r="N169" s="145"/>
      <c r="O169" s="101"/>
      <c r="P169" s="101"/>
      <c r="Q169" s="97">
        <f t="shared" si="45"/>
        <v>0</v>
      </c>
      <c r="R169" s="98">
        <f t="shared" si="54"/>
        <v>5000</v>
      </c>
      <c r="S169" s="9"/>
      <c r="T169" s="9"/>
      <c r="U169" s="12"/>
    </row>
    <row r="170" spans="3:21" s="54" customFormat="1" ht="30.75" customHeight="1">
      <c r="C170" s="25" t="s">
        <v>244</v>
      </c>
      <c r="D170" s="25" t="s">
        <v>245</v>
      </c>
      <c r="E170" s="25" t="s">
        <v>135</v>
      </c>
      <c r="F170" s="34" t="s">
        <v>242</v>
      </c>
      <c r="G170" s="97">
        <f aca="true" t="shared" si="58" ref="G170:G176">H170+K170</f>
        <v>117920</v>
      </c>
      <c r="H170" s="149">
        <f>H171</f>
        <v>117920</v>
      </c>
      <c r="I170" s="149">
        <f>I171</f>
        <v>0</v>
      </c>
      <c r="J170" s="149">
        <f>J171</f>
        <v>0</v>
      </c>
      <c r="K170" s="149">
        <f>K171</f>
        <v>0</v>
      </c>
      <c r="L170" s="97">
        <f aca="true" t="shared" si="59" ref="L170:L178">N170+Q170</f>
        <v>0</v>
      </c>
      <c r="M170" s="149">
        <f>M171</f>
        <v>0</v>
      </c>
      <c r="N170" s="149">
        <f>N171</f>
        <v>0</v>
      </c>
      <c r="O170" s="149">
        <f>O171</f>
        <v>0</v>
      </c>
      <c r="P170" s="149">
        <f>P171</f>
        <v>0</v>
      </c>
      <c r="Q170" s="97">
        <f t="shared" si="45"/>
        <v>0</v>
      </c>
      <c r="R170" s="98">
        <f t="shared" si="54"/>
        <v>117920</v>
      </c>
      <c r="S170" s="4"/>
      <c r="T170" s="4"/>
      <c r="U170" s="12"/>
    </row>
    <row r="171" spans="3:21" s="55" customFormat="1" ht="22.5" customHeight="1">
      <c r="C171" s="10"/>
      <c r="D171" s="10"/>
      <c r="E171" s="10"/>
      <c r="F171" s="26" t="s">
        <v>425</v>
      </c>
      <c r="G171" s="97">
        <f t="shared" si="58"/>
        <v>117920</v>
      </c>
      <c r="H171" s="97">
        <f>200000-82080</f>
        <v>117920</v>
      </c>
      <c r="I171" s="101"/>
      <c r="J171" s="101"/>
      <c r="K171" s="101"/>
      <c r="L171" s="97">
        <f t="shared" si="59"/>
        <v>0</v>
      </c>
      <c r="M171" s="145"/>
      <c r="N171" s="145"/>
      <c r="O171" s="101"/>
      <c r="P171" s="101"/>
      <c r="Q171" s="97">
        <f t="shared" si="45"/>
        <v>0</v>
      </c>
      <c r="R171" s="98">
        <f t="shared" si="54"/>
        <v>117920</v>
      </c>
      <c r="S171" s="9"/>
      <c r="T171" s="9"/>
      <c r="U171" s="40"/>
    </row>
    <row r="172" spans="3:20" s="5" customFormat="1" ht="36" customHeight="1">
      <c r="C172" s="25" t="s">
        <v>247</v>
      </c>
      <c r="D172" s="25" t="s">
        <v>179</v>
      </c>
      <c r="E172" s="25" t="s">
        <v>135</v>
      </c>
      <c r="F172" s="35" t="s">
        <v>246</v>
      </c>
      <c r="G172" s="97">
        <f t="shared" si="58"/>
        <v>1926830</v>
      </c>
      <c r="H172" s="149">
        <f>SUM(H173:H174)</f>
        <v>1926830</v>
      </c>
      <c r="I172" s="149">
        <f>I173</f>
        <v>0</v>
      </c>
      <c r="J172" s="149">
        <f>J173</f>
        <v>0</v>
      </c>
      <c r="K172" s="149">
        <f>K173</f>
        <v>0</v>
      </c>
      <c r="L172" s="97">
        <f t="shared" si="59"/>
        <v>0</v>
      </c>
      <c r="M172" s="149">
        <f>M173</f>
        <v>0</v>
      </c>
      <c r="N172" s="149">
        <f>N173</f>
        <v>0</v>
      </c>
      <c r="O172" s="149">
        <f>O173</f>
        <v>0</v>
      </c>
      <c r="P172" s="149">
        <f>P173</f>
        <v>0</v>
      </c>
      <c r="Q172" s="97">
        <f t="shared" si="45"/>
        <v>0</v>
      </c>
      <c r="R172" s="98">
        <f t="shared" si="54"/>
        <v>1926830</v>
      </c>
      <c r="S172" s="4"/>
      <c r="T172" s="4"/>
    </row>
    <row r="173" spans="3:20" s="6" customFormat="1" ht="24" customHeight="1">
      <c r="C173" s="10"/>
      <c r="D173" s="10"/>
      <c r="E173" s="10"/>
      <c r="F173" s="26" t="s">
        <v>425</v>
      </c>
      <c r="G173" s="97">
        <f t="shared" si="58"/>
        <v>1908530</v>
      </c>
      <c r="H173" s="97">
        <f>3200000-3300-1288170</f>
        <v>1908530</v>
      </c>
      <c r="I173" s="101"/>
      <c r="J173" s="101"/>
      <c r="K173" s="101"/>
      <c r="L173" s="97">
        <f t="shared" si="59"/>
        <v>0</v>
      </c>
      <c r="M173" s="101"/>
      <c r="N173" s="145"/>
      <c r="O173" s="101"/>
      <c r="P173" s="101"/>
      <c r="Q173" s="97">
        <f t="shared" si="45"/>
        <v>0</v>
      </c>
      <c r="R173" s="98">
        <f t="shared" si="54"/>
        <v>1908530</v>
      </c>
      <c r="S173" s="9"/>
      <c r="T173" s="9"/>
    </row>
    <row r="174" spans="3:20" s="6" customFormat="1" ht="54" customHeight="1">
      <c r="C174" s="10"/>
      <c r="D174" s="10"/>
      <c r="E174" s="10"/>
      <c r="F174" s="26" t="s">
        <v>7</v>
      </c>
      <c r="G174" s="97">
        <f t="shared" si="58"/>
        <v>18300</v>
      </c>
      <c r="H174" s="97">
        <f>3300+15000</f>
        <v>18300</v>
      </c>
      <c r="I174" s="101"/>
      <c r="J174" s="101"/>
      <c r="K174" s="101"/>
      <c r="L174" s="97"/>
      <c r="M174" s="101"/>
      <c r="N174" s="145"/>
      <c r="O174" s="101"/>
      <c r="P174" s="101"/>
      <c r="Q174" s="97">
        <f>M174</f>
        <v>0</v>
      </c>
      <c r="R174" s="98">
        <f>L174+G174</f>
        <v>18300</v>
      </c>
      <c r="S174" s="9"/>
      <c r="T174" s="9"/>
    </row>
    <row r="175" spans="3:20" s="5" customFormat="1" ht="44.25" customHeight="1">
      <c r="C175" s="25" t="s">
        <v>249</v>
      </c>
      <c r="D175" s="25" t="s">
        <v>143</v>
      </c>
      <c r="E175" s="25" t="s">
        <v>135</v>
      </c>
      <c r="F175" s="35" t="s">
        <v>248</v>
      </c>
      <c r="G175" s="97">
        <f t="shared" si="58"/>
        <v>79700</v>
      </c>
      <c r="H175" s="149">
        <f>H176</f>
        <v>79700</v>
      </c>
      <c r="I175" s="149">
        <f>I176</f>
        <v>0</v>
      </c>
      <c r="J175" s="149">
        <f>J176</f>
        <v>0</v>
      </c>
      <c r="K175" s="149">
        <f>K176</f>
        <v>0</v>
      </c>
      <c r="L175" s="97">
        <f t="shared" si="59"/>
        <v>0</v>
      </c>
      <c r="M175" s="149">
        <f>M176</f>
        <v>0</v>
      </c>
      <c r="N175" s="149">
        <f>N176</f>
        <v>0</v>
      </c>
      <c r="O175" s="149">
        <f>O176</f>
        <v>0</v>
      </c>
      <c r="P175" s="149">
        <f>P176</f>
        <v>0</v>
      </c>
      <c r="Q175" s="97">
        <f t="shared" si="45"/>
        <v>0</v>
      </c>
      <c r="R175" s="98">
        <f t="shared" si="54"/>
        <v>79700</v>
      </c>
      <c r="S175" s="4"/>
      <c r="T175" s="4"/>
    </row>
    <row r="176" spans="3:20" s="6" customFormat="1" ht="29.25" customHeight="1">
      <c r="C176" s="10"/>
      <c r="D176" s="10"/>
      <c r="E176" s="10"/>
      <c r="F176" s="26" t="s">
        <v>425</v>
      </c>
      <c r="G176" s="97">
        <f t="shared" si="58"/>
        <v>79700</v>
      </c>
      <c r="H176" s="97">
        <f>160000-80300</f>
        <v>79700</v>
      </c>
      <c r="I176" s="101"/>
      <c r="J176" s="101"/>
      <c r="K176" s="101"/>
      <c r="L176" s="97">
        <f t="shared" si="59"/>
        <v>0</v>
      </c>
      <c r="M176" s="101"/>
      <c r="N176" s="145"/>
      <c r="O176" s="101"/>
      <c r="P176" s="101"/>
      <c r="Q176" s="97">
        <f t="shared" si="45"/>
        <v>0</v>
      </c>
      <c r="R176" s="98">
        <f t="shared" si="54"/>
        <v>79700</v>
      </c>
      <c r="S176" s="9"/>
      <c r="T176" s="9"/>
    </row>
    <row r="177" spans="3:20" s="5" customFormat="1" ht="36.75" customHeight="1" hidden="1">
      <c r="C177" s="25" t="s">
        <v>250</v>
      </c>
      <c r="D177" s="25" t="s">
        <v>145</v>
      </c>
      <c r="E177" s="25" t="s">
        <v>136</v>
      </c>
      <c r="F177" s="34" t="s">
        <v>682</v>
      </c>
      <c r="G177" s="97">
        <f>H177+K177</f>
        <v>0</v>
      </c>
      <c r="H177" s="97"/>
      <c r="I177" s="97"/>
      <c r="J177" s="97"/>
      <c r="K177" s="97"/>
      <c r="L177" s="97">
        <f t="shared" si="59"/>
        <v>0</v>
      </c>
      <c r="M177" s="97"/>
      <c r="N177" s="146"/>
      <c r="O177" s="97"/>
      <c r="P177" s="97"/>
      <c r="Q177" s="97">
        <f t="shared" si="45"/>
        <v>0</v>
      </c>
      <c r="R177" s="98">
        <f t="shared" si="54"/>
        <v>0</v>
      </c>
      <c r="S177" s="4"/>
      <c r="T177" s="4"/>
    </row>
    <row r="178" spans="3:20" s="5" customFormat="1" ht="36.75" customHeight="1" hidden="1">
      <c r="C178" s="25" t="s">
        <v>251</v>
      </c>
      <c r="D178" s="25" t="s">
        <v>146</v>
      </c>
      <c r="E178" s="25" t="s">
        <v>136</v>
      </c>
      <c r="F178" s="34" t="s">
        <v>683</v>
      </c>
      <c r="G178" s="97">
        <f aca="true" t="shared" si="60" ref="G178:G184">H178+K178</f>
        <v>0</v>
      </c>
      <c r="H178" s="97"/>
      <c r="I178" s="97"/>
      <c r="J178" s="97"/>
      <c r="K178" s="97"/>
      <c r="L178" s="97">
        <f t="shared" si="59"/>
        <v>0</v>
      </c>
      <c r="M178" s="97"/>
      <c r="N178" s="146"/>
      <c r="O178" s="97"/>
      <c r="P178" s="97"/>
      <c r="Q178" s="97">
        <f t="shared" si="45"/>
        <v>0</v>
      </c>
      <c r="R178" s="98">
        <f t="shared" si="54"/>
        <v>0</v>
      </c>
      <c r="S178" s="4"/>
      <c r="T178" s="4"/>
    </row>
    <row r="179" spans="3:20" s="5" customFormat="1" ht="42.75" customHeight="1" hidden="1">
      <c r="C179" s="25" t="s">
        <v>252</v>
      </c>
      <c r="D179" s="25" t="s">
        <v>147</v>
      </c>
      <c r="E179" s="25" t="s">
        <v>136</v>
      </c>
      <c r="F179" s="34" t="s">
        <v>684</v>
      </c>
      <c r="G179" s="97">
        <f t="shared" si="60"/>
        <v>0</v>
      </c>
      <c r="H179" s="97"/>
      <c r="I179" s="97"/>
      <c r="J179" s="97"/>
      <c r="K179" s="97"/>
      <c r="L179" s="97">
        <f aca="true" t="shared" si="61" ref="L179:L205">N179+Q179</f>
        <v>0</v>
      </c>
      <c r="M179" s="97"/>
      <c r="N179" s="146"/>
      <c r="O179" s="97"/>
      <c r="P179" s="97"/>
      <c r="Q179" s="97">
        <f t="shared" si="45"/>
        <v>0</v>
      </c>
      <c r="R179" s="98">
        <f t="shared" si="54"/>
        <v>0</v>
      </c>
      <c r="S179" s="4"/>
      <c r="T179" s="4"/>
    </row>
    <row r="180" spans="3:20" s="5" customFormat="1" ht="54.75" customHeight="1" hidden="1">
      <c r="C180" s="25" t="s">
        <v>253</v>
      </c>
      <c r="D180" s="25" t="s">
        <v>148</v>
      </c>
      <c r="E180" s="25" t="s">
        <v>136</v>
      </c>
      <c r="F180" s="34" t="s">
        <v>685</v>
      </c>
      <c r="G180" s="97">
        <f t="shared" si="60"/>
        <v>0</v>
      </c>
      <c r="H180" s="97"/>
      <c r="I180" s="97"/>
      <c r="J180" s="97"/>
      <c r="K180" s="97"/>
      <c r="L180" s="97">
        <f t="shared" si="61"/>
        <v>0</v>
      </c>
      <c r="M180" s="97"/>
      <c r="N180" s="146"/>
      <c r="O180" s="97"/>
      <c r="P180" s="97"/>
      <c r="Q180" s="97">
        <f t="shared" si="45"/>
        <v>0</v>
      </c>
      <c r="R180" s="98">
        <f t="shared" si="54"/>
        <v>0</v>
      </c>
      <c r="S180" s="4"/>
      <c r="T180" s="4"/>
    </row>
    <row r="181" spans="3:20" s="5" customFormat="1" ht="39.75" customHeight="1" hidden="1">
      <c r="C181" s="25" t="s">
        <v>254</v>
      </c>
      <c r="D181" s="25" t="s">
        <v>149</v>
      </c>
      <c r="E181" s="25" t="s">
        <v>136</v>
      </c>
      <c r="F181" s="34" t="s">
        <v>686</v>
      </c>
      <c r="G181" s="97">
        <f t="shared" si="60"/>
        <v>0</v>
      </c>
      <c r="H181" s="97"/>
      <c r="I181" s="97"/>
      <c r="J181" s="97"/>
      <c r="K181" s="97"/>
      <c r="L181" s="97">
        <f t="shared" si="61"/>
        <v>0</v>
      </c>
      <c r="M181" s="97"/>
      <c r="N181" s="146"/>
      <c r="O181" s="97"/>
      <c r="P181" s="97"/>
      <c r="Q181" s="97">
        <f t="shared" si="45"/>
        <v>0</v>
      </c>
      <c r="R181" s="98">
        <f t="shared" si="54"/>
        <v>0</v>
      </c>
      <c r="S181" s="4"/>
      <c r="T181" s="4"/>
    </row>
    <row r="182" spans="3:20" s="5" customFormat="1" ht="42" customHeight="1" hidden="1">
      <c r="C182" s="25" t="s">
        <v>255</v>
      </c>
      <c r="D182" s="25" t="s">
        <v>150</v>
      </c>
      <c r="E182" s="25" t="s">
        <v>136</v>
      </c>
      <c r="F182" s="34" t="s">
        <v>687</v>
      </c>
      <c r="G182" s="97">
        <f t="shared" si="60"/>
        <v>0</v>
      </c>
      <c r="H182" s="97"/>
      <c r="I182" s="97"/>
      <c r="J182" s="97"/>
      <c r="K182" s="97"/>
      <c r="L182" s="97">
        <f t="shared" si="61"/>
        <v>0</v>
      </c>
      <c r="M182" s="97"/>
      <c r="N182" s="146"/>
      <c r="O182" s="97"/>
      <c r="P182" s="97"/>
      <c r="Q182" s="97">
        <f t="shared" si="45"/>
        <v>0</v>
      </c>
      <c r="R182" s="98">
        <f t="shared" si="54"/>
        <v>0</v>
      </c>
      <c r="S182" s="4"/>
      <c r="T182" s="4"/>
    </row>
    <row r="183" spans="3:20" s="5" customFormat="1" ht="57.75" customHeight="1" hidden="1">
      <c r="C183" s="25" t="s">
        <v>256</v>
      </c>
      <c r="D183" s="25" t="s">
        <v>151</v>
      </c>
      <c r="E183" s="25" t="s">
        <v>136</v>
      </c>
      <c r="F183" s="34" t="s">
        <v>688</v>
      </c>
      <c r="G183" s="97">
        <f t="shared" si="60"/>
        <v>0</v>
      </c>
      <c r="H183" s="97"/>
      <c r="I183" s="97"/>
      <c r="J183" s="97"/>
      <c r="K183" s="97"/>
      <c r="L183" s="97">
        <f t="shared" si="61"/>
        <v>0</v>
      </c>
      <c r="M183" s="97"/>
      <c r="N183" s="146"/>
      <c r="O183" s="97"/>
      <c r="P183" s="97"/>
      <c r="Q183" s="97">
        <f t="shared" si="45"/>
        <v>0</v>
      </c>
      <c r="R183" s="98">
        <f t="shared" si="54"/>
        <v>0</v>
      </c>
      <c r="S183" s="4"/>
      <c r="T183" s="4"/>
    </row>
    <row r="184" spans="3:20" s="5" customFormat="1" ht="57.75" customHeight="1" hidden="1">
      <c r="C184" s="99" t="s">
        <v>563</v>
      </c>
      <c r="D184" s="99" t="s">
        <v>564</v>
      </c>
      <c r="E184" s="99" t="s">
        <v>136</v>
      </c>
      <c r="F184" s="100" t="s">
        <v>689</v>
      </c>
      <c r="G184" s="97">
        <f t="shared" si="60"/>
        <v>0</v>
      </c>
      <c r="H184" s="97"/>
      <c r="I184" s="97"/>
      <c r="J184" s="97"/>
      <c r="K184" s="97"/>
      <c r="L184" s="97">
        <f t="shared" si="61"/>
        <v>0</v>
      </c>
      <c r="M184" s="97"/>
      <c r="N184" s="146"/>
      <c r="O184" s="97"/>
      <c r="P184" s="97"/>
      <c r="Q184" s="97">
        <f t="shared" si="45"/>
        <v>0</v>
      </c>
      <c r="R184" s="98">
        <f t="shared" si="54"/>
        <v>0</v>
      </c>
      <c r="S184" s="4"/>
      <c r="T184" s="4"/>
    </row>
    <row r="185" spans="1:20" s="5" customFormat="1" ht="44.25" customHeight="1">
      <c r="A185" s="5">
        <v>5</v>
      </c>
      <c r="B185" s="5">
        <v>26</v>
      </c>
      <c r="C185" s="25" t="s">
        <v>257</v>
      </c>
      <c r="D185" s="25" t="s">
        <v>152</v>
      </c>
      <c r="E185" s="25" t="s">
        <v>135</v>
      </c>
      <c r="F185" s="35" t="s">
        <v>690</v>
      </c>
      <c r="G185" s="97">
        <f aca="true" t="shared" si="62" ref="G185:G193">H185+K185</f>
        <v>287300</v>
      </c>
      <c r="H185" s="97">
        <v>287300</v>
      </c>
      <c r="I185" s="97"/>
      <c r="J185" s="97"/>
      <c r="K185" s="97"/>
      <c r="L185" s="97">
        <f>N185+Q185</f>
        <v>0</v>
      </c>
      <c r="M185" s="97"/>
      <c r="N185" s="146"/>
      <c r="O185" s="97"/>
      <c r="P185" s="97"/>
      <c r="Q185" s="97">
        <f t="shared" si="45"/>
        <v>0</v>
      </c>
      <c r="R185" s="98">
        <f t="shared" si="54"/>
        <v>287300</v>
      </c>
      <c r="S185" s="4"/>
      <c r="T185" s="4"/>
    </row>
    <row r="186" spans="3:20" s="5" customFormat="1" ht="52.5" customHeight="1" hidden="1">
      <c r="C186" s="25" t="s">
        <v>363</v>
      </c>
      <c r="D186" s="25" t="s">
        <v>364</v>
      </c>
      <c r="E186" s="25" t="s">
        <v>127</v>
      </c>
      <c r="F186" s="35" t="s">
        <v>691</v>
      </c>
      <c r="G186" s="97">
        <f t="shared" si="62"/>
        <v>0</v>
      </c>
      <c r="H186" s="97"/>
      <c r="I186" s="97"/>
      <c r="J186" s="97"/>
      <c r="K186" s="97"/>
      <c r="L186" s="97">
        <f t="shared" si="61"/>
        <v>0</v>
      </c>
      <c r="M186" s="97"/>
      <c r="N186" s="97"/>
      <c r="O186" s="97"/>
      <c r="P186" s="97"/>
      <c r="Q186" s="97">
        <f t="shared" si="45"/>
        <v>0</v>
      </c>
      <c r="R186" s="98">
        <f t="shared" si="54"/>
        <v>0</v>
      </c>
      <c r="S186" s="4"/>
      <c r="T186" s="4"/>
    </row>
    <row r="187" spans="3:20" s="5" customFormat="1" ht="69" customHeight="1" hidden="1">
      <c r="C187" s="25" t="s">
        <v>411</v>
      </c>
      <c r="D187" s="25" t="s">
        <v>412</v>
      </c>
      <c r="E187" s="25" t="s">
        <v>127</v>
      </c>
      <c r="F187" s="35" t="s">
        <v>692</v>
      </c>
      <c r="G187" s="97">
        <f t="shared" si="62"/>
        <v>0</v>
      </c>
      <c r="H187" s="97"/>
      <c r="I187" s="97"/>
      <c r="J187" s="97"/>
      <c r="K187" s="97"/>
      <c r="L187" s="97">
        <f t="shared" si="61"/>
        <v>0</v>
      </c>
      <c r="M187" s="97"/>
      <c r="N187" s="97"/>
      <c r="O187" s="97"/>
      <c r="P187" s="97"/>
      <c r="Q187" s="97">
        <f t="shared" si="45"/>
        <v>0</v>
      </c>
      <c r="R187" s="98">
        <f t="shared" si="54"/>
        <v>0</v>
      </c>
      <c r="S187" s="4"/>
      <c r="T187" s="4"/>
    </row>
    <row r="188" spans="3:20" s="5" customFormat="1" ht="52.5" customHeight="1" hidden="1">
      <c r="C188" s="25" t="s">
        <v>403</v>
      </c>
      <c r="D188" s="25" t="s">
        <v>402</v>
      </c>
      <c r="E188" s="25" t="s">
        <v>127</v>
      </c>
      <c r="F188" s="35" t="s">
        <v>693</v>
      </c>
      <c r="G188" s="97">
        <f t="shared" si="62"/>
        <v>0</v>
      </c>
      <c r="H188" s="97"/>
      <c r="I188" s="97"/>
      <c r="J188" s="97"/>
      <c r="K188" s="97"/>
      <c r="L188" s="97">
        <f t="shared" si="61"/>
        <v>0</v>
      </c>
      <c r="M188" s="97"/>
      <c r="N188" s="97"/>
      <c r="O188" s="97"/>
      <c r="P188" s="97"/>
      <c r="Q188" s="97">
        <f t="shared" si="45"/>
        <v>0</v>
      </c>
      <c r="R188" s="98">
        <f aca="true" t="shared" si="63" ref="R188:R219">L188+G188</f>
        <v>0</v>
      </c>
      <c r="S188" s="4"/>
      <c r="T188" s="4"/>
    </row>
    <row r="189" spans="3:20" s="5" customFormat="1" ht="67.5" customHeight="1" hidden="1">
      <c r="C189" s="25" t="s">
        <v>486</v>
      </c>
      <c r="D189" s="25" t="s">
        <v>487</v>
      </c>
      <c r="E189" s="25" t="s">
        <v>127</v>
      </c>
      <c r="F189" s="35" t="s">
        <v>694</v>
      </c>
      <c r="G189" s="97">
        <f t="shared" si="62"/>
        <v>0</v>
      </c>
      <c r="H189" s="97"/>
      <c r="I189" s="97"/>
      <c r="J189" s="97"/>
      <c r="K189" s="97"/>
      <c r="L189" s="97">
        <f t="shared" si="61"/>
        <v>0</v>
      </c>
      <c r="M189" s="97"/>
      <c r="N189" s="97"/>
      <c r="O189" s="97"/>
      <c r="P189" s="97"/>
      <c r="Q189" s="97">
        <f t="shared" si="45"/>
        <v>0</v>
      </c>
      <c r="R189" s="98">
        <f t="shared" si="63"/>
        <v>0</v>
      </c>
      <c r="S189" s="4"/>
      <c r="T189" s="4"/>
    </row>
    <row r="190" spans="3:20" s="5" customFormat="1" ht="84.75" customHeight="1" hidden="1">
      <c r="C190" s="25" t="s">
        <v>404</v>
      </c>
      <c r="D190" s="25" t="s">
        <v>405</v>
      </c>
      <c r="E190" s="25" t="s">
        <v>127</v>
      </c>
      <c r="F190" s="35" t="s">
        <v>695</v>
      </c>
      <c r="G190" s="97">
        <f t="shared" si="62"/>
        <v>0</v>
      </c>
      <c r="H190" s="97"/>
      <c r="I190" s="97"/>
      <c r="J190" s="97"/>
      <c r="K190" s="97"/>
      <c r="L190" s="97">
        <f t="shared" si="61"/>
        <v>0</v>
      </c>
      <c r="M190" s="97"/>
      <c r="N190" s="97"/>
      <c r="O190" s="97"/>
      <c r="P190" s="97"/>
      <c r="Q190" s="97">
        <f t="shared" si="45"/>
        <v>0</v>
      </c>
      <c r="R190" s="98">
        <f t="shared" si="63"/>
        <v>0</v>
      </c>
      <c r="S190" s="4"/>
      <c r="T190" s="4"/>
    </row>
    <row r="191" spans="3:20" s="5" customFormat="1" ht="161.25" customHeight="1" hidden="1">
      <c r="C191" s="99" t="s">
        <v>565</v>
      </c>
      <c r="D191" s="99" t="s">
        <v>566</v>
      </c>
      <c r="E191" s="99" t="s">
        <v>136</v>
      </c>
      <c r="F191" s="35" t="s">
        <v>696</v>
      </c>
      <c r="G191" s="97">
        <f t="shared" si="62"/>
        <v>0</v>
      </c>
      <c r="H191" s="97"/>
      <c r="I191" s="97"/>
      <c r="J191" s="97"/>
      <c r="K191" s="97"/>
      <c r="L191" s="97">
        <f t="shared" si="61"/>
        <v>0</v>
      </c>
      <c r="M191" s="97"/>
      <c r="N191" s="97"/>
      <c r="O191" s="97"/>
      <c r="P191" s="97"/>
      <c r="Q191" s="97">
        <f t="shared" si="45"/>
        <v>0</v>
      </c>
      <c r="R191" s="98">
        <f t="shared" si="63"/>
        <v>0</v>
      </c>
      <c r="S191" s="4"/>
      <c r="T191" s="4"/>
    </row>
    <row r="192" spans="3:20" s="5" customFormat="1" ht="61.5" customHeight="1" hidden="1">
      <c r="C192" s="25" t="s">
        <v>574</v>
      </c>
      <c r="D192" s="25" t="s">
        <v>575</v>
      </c>
      <c r="E192" s="25" t="s">
        <v>136</v>
      </c>
      <c r="F192" s="35" t="s">
        <v>697</v>
      </c>
      <c r="G192" s="97">
        <f t="shared" si="62"/>
        <v>0</v>
      </c>
      <c r="H192" s="97"/>
      <c r="I192" s="97"/>
      <c r="J192" s="97"/>
      <c r="K192" s="97"/>
      <c r="L192" s="97">
        <f t="shared" si="61"/>
        <v>0</v>
      </c>
      <c r="M192" s="97"/>
      <c r="N192" s="97"/>
      <c r="O192" s="97"/>
      <c r="P192" s="97"/>
      <c r="Q192" s="97">
        <f t="shared" si="45"/>
        <v>0</v>
      </c>
      <c r="R192" s="98">
        <f t="shared" si="63"/>
        <v>0</v>
      </c>
      <c r="S192" s="4"/>
      <c r="T192" s="4"/>
    </row>
    <row r="193" spans="1:20" s="5" customFormat="1" ht="48" customHeight="1">
      <c r="A193" s="5">
        <v>7</v>
      </c>
      <c r="B193" s="5">
        <v>28</v>
      </c>
      <c r="C193" s="25" t="s">
        <v>258</v>
      </c>
      <c r="D193" s="25" t="s">
        <v>153</v>
      </c>
      <c r="E193" s="25" t="s">
        <v>140</v>
      </c>
      <c r="F193" s="34" t="s">
        <v>698</v>
      </c>
      <c r="G193" s="97">
        <f t="shared" si="62"/>
        <v>32800</v>
      </c>
      <c r="H193" s="97">
        <v>32800</v>
      </c>
      <c r="I193" s="97"/>
      <c r="J193" s="97"/>
      <c r="K193" s="97"/>
      <c r="L193" s="97">
        <f t="shared" si="61"/>
        <v>0</v>
      </c>
      <c r="M193" s="97"/>
      <c r="N193" s="146"/>
      <c r="O193" s="97"/>
      <c r="P193" s="97"/>
      <c r="Q193" s="97">
        <f t="shared" si="45"/>
        <v>0</v>
      </c>
      <c r="R193" s="98">
        <f t="shared" si="63"/>
        <v>32800</v>
      </c>
      <c r="S193" s="4"/>
      <c r="T193" s="4"/>
    </row>
    <row r="194" spans="3:20" s="5" customFormat="1" ht="53.25" customHeight="1">
      <c r="C194" s="25" t="s">
        <v>259</v>
      </c>
      <c r="D194" s="25" t="s">
        <v>154</v>
      </c>
      <c r="E194" s="25" t="s">
        <v>129</v>
      </c>
      <c r="F194" s="34" t="s">
        <v>485</v>
      </c>
      <c r="G194" s="97">
        <f>H194+K194</f>
        <v>6855490</v>
      </c>
      <c r="H194" s="149">
        <f>SUM(H195:H199)</f>
        <v>6855490</v>
      </c>
      <c r="I194" s="149">
        <f aca="true" t="shared" si="64" ref="I194:P194">SUM(I195:I199)</f>
        <v>4881215</v>
      </c>
      <c r="J194" s="149">
        <f t="shared" si="64"/>
        <v>92500</v>
      </c>
      <c r="K194" s="149">
        <f t="shared" si="64"/>
        <v>0</v>
      </c>
      <c r="L194" s="97">
        <f t="shared" si="61"/>
        <v>1018550</v>
      </c>
      <c r="M194" s="149">
        <f t="shared" si="64"/>
        <v>849000</v>
      </c>
      <c r="N194" s="149">
        <f t="shared" si="64"/>
        <v>169550</v>
      </c>
      <c r="O194" s="149">
        <f t="shared" si="64"/>
        <v>0</v>
      </c>
      <c r="P194" s="149">
        <f t="shared" si="64"/>
        <v>0</v>
      </c>
      <c r="Q194" s="97">
        <f t="shared" si="45"/>
        <v>849000</v>
      </c>
      <c r="R194" s="98">
        <f t="shared" si="63"/>
        <v>7874040</v>
      </c>
      <c r="S194" s="4"/>
      <c r="T194" s="197"/>
    </row>
    <row r="195" spans="3:20" s="6" customFormat="1" ht="59.25" customHeight="1">
      <c r="C195" s="10"/>
      <c r="D195" s="10"/>
      <c r="E195" s="10"/>
      <c r="F195" s="26" t="s">
        <v>195</v>
      </c>
      <c r="G195" s="97">
        <f>H195+K195</f>
        <v>6799850</v>
      </c>
      <c r="H195" s="97">
        <f>6939600-150250+44300-33800</f>
        <v>6799850</v>
      </c>
      <c r="I195" s="148">
        <f>4695915+185300</f>
        <v>4881215</v>
      </c>
      <c r="J195" s="148">
        <f>128500-36000</f>
        <v>92500</v>
      </c>
      <c r="K195" s="101"/>
      <c r="L195" s="97">
        <f t="shared" si="61"/>
        <v>1018550</v>
      </c>
      <c r="M195" s="97">
        <f>865000-16000</f>
        <v>849000</v>
      </c>
      <c r="N195" s="97">
        <v>169550</v>
      </c>
      <c r="O195" s="101"/>
      <c r="P195" s="101"/>
      <c r="Q195" s="97">
        <f t="shared" si="45"/>
        <v>849000</v>
      </c>
      <c r="R195" s="98">
        <f t="shared" si="63"/>
        <v>7818400</v>
      </c>
      <c r="S195" s="9"/>
      <c r="T195" s="198"/>
    </row>
    <row r="196" spans="3:20" s="6" customFormat="1" ht="54.75" customHeight="1">
      <c r="C196" s="10"/>
      <c r="D196" s="10"/>
      <c r="E196" s="10"/>
      <c r="F196" s="26" t="s">
        <v>445</v>
      </c>
      <c r="G196" s="97">
        <f>H196+K196</f>
        <v>55640</v>
      </c>
      <c r="H196" s="97">
        <f>13190+7950+34500</f>
        <v>55640</v>
      </c>
      <c r="I196" s="148"/>
      <c r="J196" s="148"/>
      <c r="K196" s="101"/>
      <c r="L196" s="97">
        <f t="shared" si="61"/>
        <v>0</v>
      </c>
      <c r="M196" s="97"/>
      <c r="N196" s="97"/>
      <c r="O196" s="101"/>
      <c r="P196" s="101"/>
      <c r="Q196" s="97">
        <f t="shared" si="45"/>
        <v>0</v>
      </c>
      <c r="R196" s="98">
        <f t="shared" si="63"/>
        <v>55640</v>
      </c>
      <c r="S196" s="9"/>
      <c r="T196" s="198"/>
    </row>
    <row r="197" spans="3:20" s="6" customFormat="1" ht="54" customHeight="1" hidden="1">
      <c r="C197" s="10"/>
      <c r="D197" s="10"/>
      <c r="E197" s="10"/>
      <c r="F197" s="26" t="s">
        <v>699</v>
      </c>
      <c r="G197" s="97">
        <f>H197+K197</f>
        <v>0</v>
      </c>
      <c r="H197" s="97"/>
      <c r="I197" s="148"/>
      <c r="J197" s="148"/>
      <c r="K197" s="101"/>
      <c r="L197" s="97">
        <f t="shared" si="61"/>
        <v>0</v>
      </c>
      <c r="M197" s="97"/>
      <c r="N197" s="97"/>
      <c r="O197" s="101"/>
      <c r="P197" s="101"/>
      <c r="Q197" s="97">
        <f t="shared" si="45"/>
        <v>0</v>
      </c>
      <c r="R197" s="98">
        <f t="shared" si="63"/>
        <v>0</v>
      </c>
      <c r="S197" s="9"/>
      <c r="T197" s="198"/>
    </row>
    <row r="198" spans="3:20" s="6" customFormat="1" ht="54" customHeight="1" hidden="1">
      <c r="C198" s="10"/>
      <c r="D198" s="10"/>
      <c r="E198" s="10"/>
      <c r="F198" s="26" t="s">
        <v>10</v>
      </c>
      <c r="G198" s="97"/>
      <c r="H198" s="97"/>
      <c r="I198" s="148"/>
      <c r="J198" s="148"/>
      <c r="K198" s="101"/>
      <c r="L198" s="97">
        <f t="shared" si="61"/>
        <v>0</v>
      </c>
      <c r="M198" s="97"/>
      <c r="N198" s="97"/>
      <c r="O198" s="101"/>
      <c r="P198" s="101"/>
      <c r="Q198" s="97">
        <f t="shared" si="45"/>
        <v>0</v>
      </c>
      <c r="R198" s="98">
        <f t="shared" si="63"/>
        <v>0</v>
      </c>
      <c r="S198" s="9"/>
      <c r="T198" s="198"/>
    </row>
    <row r="199" spans="3:21" s="6" customFormat="1" ht="37.5" customHeight="1" hidden="1">
      <c r="C199" s="10"/>
      <c r="D199" s="10"/>
      <c r="E199" s="10"/>
      <c r="F199" s="26" t="s">
        <v>482</v>
      </c>
      <c r="G199" s="97">
        <f>H199+K199</f>
        <v>0</v>
      </c>
      <c r="H199" s="97"/>
      <c r="I199" s="150"/>
      <c r="J199" s="150"/>
      <c r="K199" s="101"/>
      <c r="L199" s="97">
        <f t="shared" si="61"/>
        <v>0</v>
      </c>
      <c r="M199" s="101"/>
      <c r="N199" s="101"/>
      <c r="O199" s="101"/>
      <c r="P199" s="101"/>
      <c r="Q199" s="97">
        <f t="shared" si="45"/>
        <v>0</v>
      </c>
      <c r="R199" s="98">
        <f t="shared" si="63"/>
        <v>0</v>
      </c>
      <c r="S199" s="9"/>
      <c r="T199" s="198"/>
      <c r="U199" s="40"/>
    </row>
    <row r="200" spans="3:21" s="5" customFormat="1" ht="45" customHeight="1">
      <c r="C200" s="25" t="s">
        <v>409</v>
      </c>
      <c r="D200" s="25" t="s">
        <v>261</v>
      </c>
      <c r="E200" s="25" t="s">
        <v>136</v>
      </c>
      <c r="F200" s="34" t="s">
        <v>260</v>
      </c>
      <c r="G200" s="97">
        <f aca="true" t="shared" si="65" ref="G200:G207">H200+K200</f>
        <v>1593487</v>
      </c>
      <c r="H200" s="149">
        <f>SUM(H201:H203)</f>
        <v>1593487</v>
      </c>
      <c r="I200" s="149">
        <f>SUM(I201:I203)</f>
        <v>1166500</v>
      </c>
      <c r="J200" s="149">
        <f>SUM(J201:J203)</f>
        <v>23800</v>
      </c>
      <c r="K200" s="149">
        <f>SUM(K201:K203)</f>
        <v>0</v>
      </c>
      <c r="L200" s="97">
        <f>N200+Q200</f>
        <v>0</v>
      </c>
      <c r="M200" s="149">
        <f>SUM(M201:M203)</f>
        <v>0</v>
      </c>
      <c r="N200" s="149">
        <f>SUM(N201:N203)</f>
        <v>0</v>
      </c>
      <c r="O200" s="149">
        <f>SUM(O201:O203)</f>
        <v>0</v>
      </c>
      <c r="P200" s="149">
        <f>SUM(P201:P203)</f>
        <v>0</v>
      </c>
      <c r="Q200" s="97">
        <f t="shared" si="45"/>
        <v>0</v>
      </c>
      <c r="R200" s="98">
        <f t="shared" si="63"/>
        <v>1593487</v>
      </c>
      <c r="S200" s="4"/>
      <c r="T200" s="4"/>
      <c r="U200" s="12"/>
    </row>
    <row r="201" spans="3:21" s="6" customFormat="1" ht="45" customHeight="1">
      <c r="C201" s="10"/>
      <c r="D201" s="10"/>
      <c r="E201" s="10"/>
      <c r="F201" s="26" t="s">
        <v>262</v>
      </c>
      <c r="G201" s="97">
        <f t="shared" si="65"/>
        <v>1509087</v>
      </c>
      <c r="H201" s="97">
        <f>1506800+1182+1105</f>
        <v>1509087</v>
      </c>
      <c r="I201" s="97">
        <v>1166500</v>
      </c>
      <c r="J201" s="97">
        <v>23800</v>
      </c>
      <c r="K201" s="101"/>
      <c r="L201" s="97">
        <f t="shared" si="61"/>
        <v>0</v>
      </c>
      <c r="M201" s="97"/>
      <c r="N201" s="97"/>
      <c r="O201" s="97"/>
      <c r="P201" s="97"/>
      <c r="Q201" s="97">
        <f aca="true" t="shared" si="66" ref="Q201:Q248">M201</f>
        <v>0</v>
      </c>
      <c r="R201" s="98">
        <f t="shared" si="63"/>
        <v>1509087</v>
      </c>
      <c r="S201" s="9"/>
      <c r="T201" s="9"/>
      <c r="U201" s="40"/>
    </row>
    <row r="202" spans="3:21" s="6" customFormat="1" ht="60.75" customHeight="1">
      <c r="C202" s="10"/>
      <c r="D202" s="10"/>
      <c r="E202" s="10"/>
      <c r="F202" s="26" t="s">
        <v>445</v>
      </c>
      <c r="G202" s="97">
        <f t="shared" si="65"/>
        <v>10000</v>
      </c>
      <c r="H202" s="97">
        <f>10000</f>
        <v>10000</v>
      </c>
      <c r="I202" s="97"/>
      <c r="J202" s="97"/>
      <c r="K202" s="101"/>
      <c r="L202" s="97">
        <f t="shared" si="61"/>
        <v>0</v>
      </c>
      <c r="M202" s="97"/>
      <c r="N202" s="97"/>
      <c r="O202" s="97"/>
      <c r="P202" s="97"/>
      <c r="Q202" s="97">
        <f>M202</f>
        <v>0</v>
      </c>
      <c r="R202" s="98">
        <f t="shared" si="63"/>
        <v>10000</v>
      </c>
      <c r="S202" s="9"/>
      <c r="T202" s="9"/>
      <c r="U202" s="40"/>
    </row>
    <row r="203" spans="3:21" s="6" customFormat="1" ht="45" customHeight="1">
      <c r="C203" s="10"/>
      <c r="D203" s="10"/>
      <c r="E203" s="10"/>
      <c r="F203" s="26" t="s">
        <v>263</v>
      </c>
      <c r="G203" s="97">
        <f t="shared" si="65"/>
        <v>74400</v>
      </c>
      <c r="H203" s="97">
        <v>74400</v>
      </c>
      <c r="I203" s="101"/>
      <c r="J203" s="101"/>
      <c r="K203" s="101"/>
      <c r="L203" s="97">
        <f t="shared" si="61"/>
        <v>0</v>
      </c>
      <c r="M203" s="101"/>
      <c r="N203" s="101"/>
      <c r="O203" s="101"/>
      <c r="P203" s="101"/>
      <c r="Q203" s="97">
        <f t="shared" si="66"/>
        <v>0</v>
      </c>
      <c r="R203" s="98">
        <f t="shared" si="63"/>
        <v>74400</v>
      </c>
      <c r="S203" s="9"/>
      <c r="T203" s="9"/>
      <c r="U203" s="40"/>
    </row>
    <row r="204" spans="3:21" s="5" customFormat="1" ht="45" customHeight="1" hidden="1">
      <c r="C204" s="25" t="s">
        <v>426</v>
      </c>
      <c r="D204" s="25" t="s">
        <v>427</v>
      </c>
      <c r="E204" s="25" t="s">
        <v>136</v>
      </c>
      <c r="F204" s="185" t="s">
        <v>428</v>
      </c>
      <c r="G204" s="97">
        <f t="shared" si="65"/>
        <v>0</v>
      </c>
      <c r="H204" s="149">
        <f>H205</f>
        <v>0</v>
      </c>
      <c r="I204" s="149">
        <f aca="true" t="shared" si="67" ref="I204:P204">I205</f>
        <v>0</v>
      </c>
      <c r="J204" s="149">
        <f t="shared" si="67"/>
        <v>0</v>
      </c>
      <c r="K204" s="149">
        <f t="shared" si="67"/>
        <v>0</v>
      </c>
      <c r="L204" s="97">
        <f t="shared" si="61"/>
        <v>0</v>
      </c>
      <c r="M204" s="149">
        <f t="shared" si="67"/>
        <v>0</v>
      </c>
      <c r="N204" s="149">
        <f t="shared" si="67"/>
        <v>0</v>
      </c>
      <c r="O204" s="149">
        <f t="shared" si="67"/>
        <v>0</v>
      </c>
      <c r="P204" s="149">
        <f t="shared" si="67"/>
        <v>0</v>
      </c>
      <c r="Q204" s="97">
        <f t="shared" si="66"/>
        <v>0</v>
      </c>
      <c r="R204" s="98">
        <f t="shared" si="63"/>
        <v>0</v>
      </c>
      <c r="S204" s="4"/>
      <c r="T204" s="4"/>
      <c r="U204" s="12"/>
    </row>
    <row r="205" spans="3:20" s="6" customFormat="1" ht="47.25" customHeight="1" hidden="1">
      <c r="C205" s="10"/>
      <c r="D205" s="10"/>
      <c r="E205" s="10"/>
      <c r="F205" s="26" t="s">
        <v>263</v>
      </c>
      <c r="G205" s="101">
        <f t="shared" si="65"/>
        <v>0</v>
      </c>
      <c r="H205" s="101"/>
      <c r="I205" s="101"/>
      <c r="J205" s="101"/>
      <c r="K205" s="101"/>
      <c r="L205" s="97">
        <f t="shared" si="61"/>
        <v>0</v>
      </c>
      <c r="M205" s="145"/>
      <c r="N205" s="145"/>
      <c r="O205" s="101"/>
      <c r="P205" s="101"/>
      <c r="Q205" s="97">
        <f t="shared" si="66"/>
        <v>0</v>
      </c>
      <c r="R205" s="98">
        <f t="shared" si="63"/>
        <v>0</v>
      </c>
      <c r="S205" s="9"/>
      <c r="T205" s="9"/>
    </row>
    <row r="206" spans="1:21" s="5" customFormat="1" ht="78" customHeight="1">
      <c r="A206" s="5">
        <v>9</v>
      </c>
      <c r="B206" s="5">
        <v>30</v>
      </c>
      <c r="C206" s="25" t="s">
        <v>265</v>
      </c>
      <c r="D206" s="25" t="s">
        <v>266</v>
      </c>
      <c r="E206" s="25" t="s">
        <v>127</v>
      </c>
      <c r="F206" s="34" t="s">
        <v>365</v>
      </c>
      <c r="G206" s="97">
        <f t="shared" si="65"/>
        <v>185000</v>
      </c>
      <c r="H206" s="149">
        <f>H207</f>
        <v>185000</v>
      </c>
      <c r="I206" s="149">
        <f>I207</f>
        <v>0</v>
      </c>
      <c r="J206" s="149">
        <f>J207</f>
        <v>0</v>
      </c>
      <c r="K206" s="149">
        <f>K207</f>
        <v>0</v>
      </c>
      <c r="L206" s="97">
        <f>N206+Q206</f>
        <v>0</v>
      </c>
      <c r="M206" s="149">
        <f>M207</f>
        <v>0</v>
      </c>
      <c r="N206" s="149">
        <f>N207</f>
        <v>0</v>
      </c>
      <c r="O206" s="149">
        <f>O207</f>
        <v>0</v>
      </c>
      <c r="P206" s="149">
        <f>P207</f>
        <v>0</v>
      </c>
      <c r="Q206" s="97">
        <f t="shared" si="66"/>
        <v>0</v>
      </c>
      <c r="R206" s="98">
        <f t="shared" si="63"/>
        <v>185000</v>
      </c>
      <c r="S206" s="4"/>
      <c r="T206" s="9"/>
      <c r="U206" s="12"/>
    </row>
    <row r="207" spans="3:21" s="6" customFormat="1" ht="30.75" customHeight="1">
      <c r="C207" s="10"/>
      <c r="D207" s="10"/>
      <c r="E207" s="10"/>
      <c r="F207" s="36" t="s">
        <v>425</v>
      </c>
      <c r="G207" s="97">
        <f t="shared" si="65"/>
        <v>185000</v>
      </c>
      <c r="H207" s="97">
        <f>200000-15000</f>
        <v>185000</v>
      </c>
      <c r="I207" s="101"/>
      <c r="J207" s="101"/>
      <c r="K207" s="101"/>
      <c r="L207" s="101">
        <f aca="true" t="shared" si="68" ref="L207:L238">N207+Q207</f>
        <v>0</v>
      </c>
      <c r="M207" s="101"/>
      <c r="N207" s="101"/>
      <c r="O207" s="101"/>
      <c r="P207" s="101"/>
      <c r="Q207" s="97">
        <f t="shared" si="66"/>
        <v>0</v>
      </c>
      <c r="R207" s="98">
        <f t="shared" si="63"/>
        <v>185000</v>
      </c>
      <c r="S207" s="9"/>
      <c r="T207" s="9"/>
      <c r="U207" s="40"/>
    </row>
    <row r="208" spans="3:20" s="5" customFormat="1" ht="60.75" customHeight="1">
      <c r="C208" s="25" t="s">
        <v>368</v>
      </c>
      <c r="D208" s="25" t="s">
        <v>369</v>
      </c>
      <c r="E208" s="25" t="s">
        <v>127</v>
      </c>
      <c r="F208" s="34" t="s">
        <v>700</v>
      </c>
      <c r="G208" s="97">
        <f aca="true" t="shared" si="69" ref="G208:G215">H208+K208</f>
        <v>12000</v>
      </c>
      <c r="H208" s="97">
        <v>12000</v>
      </c>
      <c r="I208" s="97"/>
      <c r="J208" s="97"/>
      <c r="K208" s="97"/>
      <c r="L208" s="97">
        <f t="shared" si="68"/>
        <v>0</v>
      </c>
      <c r="M208" s="97"/>
      <c r="N208" s="146"/>
      <c r="O208" s="97"/>
      <c r="P208" s="97"/>
      <c r="Q208" s="97">
        <f t="shared" si="66"/>
        <v>0</v>
      </c>
      <c r="R208" s="98">
        <f t="shared" si="63"/>
        <v>12000</v>
      </c>
      <c r="S208" s="4"/>
      <c r="T208" s="4"/>
    </row>
    <row r="209" spans="3:20" s="5" customFormat="1" ht="49.5" customHeight="1" hidden="1">
      <c r="C209" s="25" t="s">
        <v>366</v>
      </c>
      <c r="D209" s="25" t="s">
        <v>367</v>
      </c>
      <c r="E209" s="25" t="s">
        <v>127</v>
      </c>
      <c r="F209" s="34" t="s">
        <v>422</v>
      </c>
      <c r="G209" s="97">
        <f t="shared" si="69"/>
        <v>0</v>
      </c>
      <c r="H209" s="97">
        <v>0</v>
      </c>
      <c r="I209" s="97"/>
      <c r="J209" s="97"/>
      <c r="K209" s="97"/>
      <c r="L209" s="97">
        <f t="shared" si="68"/>
        <v>0</v>
      </c>
      <c r="M209" s="97"/>
      <c r="N209" s="146"/>
      <c r="O209" s="97"/>
      <c r="P209" s="97"/>
      <c r="Q209" s="97">
        <f t="shared" si="66"/>
        <v>0</v>
      </c>
      <c r="R209" s="98">
        <f t="shared" si="63"/>
        <v>0</v>
      </c>
      <c r="S209" s="4"/>
      <c r="T209" s="4"/>
    </row>
    <row r="210" spans="1:21" s="5" customFormat="1" ht="69.75" customHeight="1">
      <c r="A210" s="5">
        <v>10</v>
      </c>
      <c r="B210" s="5">
        <v>31</v>
      </c>
      <c r="C210" s="25" t="s">
        <v>264</v>
      </c>
      <c r="D210" s="25" t="s">
        <v>155</v>
      </c>
      <c r="E210" s="25" t="s">
        <v>137</v>
      </c>
      <c r="F210" s="35" t="s">
        <v>370</v>
      </c>
      <c r="G210" s="97">
        <f t="shared" si="69"/>
        <v>154700</v>
      </c>
      <c r="H210" s="149">
        <f>H211+H212</f>
        <v>154700</v>
      </c>
      <c r="I210" s="149">
        <f aca="true" t="shared" si="70" ref="I210:P210">I211+I212</f>
        <v>0</v>
      </c>
      <c r="J210" s="149">
        <f t="shared" si="70"/>
        <v>0</v>
      </c>
      <c r="K210" s="149">
        <f t="shared" si="70"/>
        <v>0</v>
      </c>
      <c r="L210" s="97">
        <f t="shared" si="68"/>
        <v>0</v>
      </c>
      <c r="M210" s="149">
        <f t="shared" si="70"/>
        <v>0</v>
      </c>
      <c r="N210" s="149">
        <f t="shared" si="70"/>
        <v>0</v>
      </c>
      <c r="O210" s="149">
        <f t="shared" si="70"/>
        <v>0</v>
      </c>
      <c r="P210" s="149">
        <f t="shared" si="70"/>
        <v>0</v>
      </c>
      <c r="Q210" s="97">
        <f t="shared" si="66"/>
        <v>0</v>
      </c>
      <c r="R210" s="98">
        <f t="shared" si="63"/>
        <v>154700</v>
      </c>
      <c r="S210" s="4"/>
      <c r="T210" s="4"/>
      <c r="U210" s="12"/>
    </row>
    <row r="211" spans="3:20" s="6" customFormat="1" ht="26.25" customHeight="1">
      <c r="C211" s="10"/>
      <c r="D211" s="10"/>
      <c r="E211" s="10"/>
      <c r="F211" s="36" t="s">
        <v>425</v>
      </c>
      <c r="G211" s="97">
        <f t="shared" si="69"/>
        <v>105000</v>
      </c>
      <c r="H211" s="97">
        <f>114000-9000</f>
        <v>105000</v>
      </c>
      <c r="I211" s="101"/>
      <c r="J211" s="101"/>
      <c r="K211" s="101"/>
      <c r="L211" s="97">
        <f t="shared" si="68"/>
        <v>0</v>
      </c>
      <c r="M211" s="101"/>
      <c r="N211" s="101"/>
      <c r="O211" s="101"/>
      <c r="P211" s="101"/>
      <c r="Q211" s="97">
        <f t="shared" si="66"/>
        <v>0</v>
      </c>
      <c r="R211" s="98">
        <f t="shared" si="63"/>
        <v>105000</v>
      </c>
      <c r="S211" s="9"/>
      <c r="T211" s="9"/>
    </row>
    <row r="212" spans="3:21" s="6" customFormat="1" ht="36.75" customHeight="1">
      <c r="C212" s="10"/>
      <c r="D212" s="10"/>
      <c r="E212" s="10"/>
      <c r="F212" s="36" t="s">
        <v>553</v>
      </c>
      <c r="G212" s="97">
        <f t="shared" si="69"/>
        <v>49700</v>
      </c>
      <c r="H212" s="97">
        <f>128800-83100+4000</f>
        <v>49700</v>
      </c>
      <c r="I212" s="101"/>
      <c r="J212" s="101"/>
      <c r="K212" s="101"/>
      <c r="L212" s="97">
        <f t="shared" si="68"/>
        <v>0</v>
      </c>
      <c r="M212" s="101"/>
      <c r="N212" s="101"/>
      <c r="O212" s="101"/>
      <c r="P212" s="101"/>
      <c r="Q212" s="97">
        <f t="shared" si="66"/>
        <v>0</v>
      </c>
      <c r="R212" s="98">
        <f t="shared" si="63"/>
        <v>49700</v>
      </c>
      <c r="S212" s="9"/>
      <c r="T212" s="9"/>
      <c r="U212" s="40"/>
    </row>
    <row r="213" spans="3:21" s="5" customFormat="1" ht="34.5" customHeight="1">
      <c r="C213" s="25" t="s">
        <v>372</v>
      </c>
      <c r="D213" s="25" t="s">
        <v>371</v>
      </c>
      <c r="E213" s="25" t="s">
        <v>140</v>
      </c>
      <c r="F213" s="35" t="s">
        <v>267</v>
      </c>
      <c r="G213" s="97">
        <f t="shared" si="69"/>
        <v>1433201</v>
      </c>
      <c r="H213" s="149">
        <f>SUM(H214:H218)</f>
        <v>1433201</v>
      </c>
      <c r="I213" s="149">
        <f aca="true" t="shared" si="71" ref="I213:P213">SUM(I214:I218)</f>
        <v>0</v>
      </c>
      <c r="J213" s="149">
        <f t="shared" si="71"/>
        <v>0</v>
      </c>
      <c r="K213" s="149">
        <f t="shared" si="71"/>
        <v>0</v>
      </c>
      <c r="L213" s="97">
        <f t="shared" si="68"/>
        <v>0</v>
      </c>
      <c r="M213" s="149">
        <f t="shared" si="71"/>
        <v>0</v>
      </c>
      <c r="N213" s="149">
        <f t="shared" si="71"/>
        <v>0</v>
      </c>
      <c r="O213" s="149">
        <f t="shared" si="71"/>
        <v>0</v>
      </c>
      <c r="P213" s="149">
        <f t="shared" si="71"/>
        <v>0</v>
      </c>
      <c r="Q213" s="97">
        <f t="shared" si="66"/>
        <v>0</v>
      </c>
      <c r="R213" s="98">
        <f t="shared" si="63"/>
        <v>1433201</v>
      </c>
      <c r="S213" s="4"/>
      <c r="T213" s="4"/>
      <c r="U213" s="12"/>
    </row>
    <row r="214" spans="3:20" s="6" customFormat="1" ht="29.25" customHeight="1">
      <c r="C214" s="10"/>
      <c r="D214" s="10"/>
      <c r="E214" s="10"/>
      <c r="F214" s="36" t="s">
        <v>701</v>
      </c>
      <c r="G214" s="97">
        <f t="shared" si="69"/>
        <v>407800</v>
      </c>
      <c r="H214" s="151">
        <f>33800+30000+36000+168000+119000+21000</f>
        <v>407800</v>
      </c>
      <c r="I214" s="101"/>
      <c r="J214" s="101"/>
      <c r="K214" s="101"/>
      <c r="L214" s="97">
        <f t="shared" si="68"/>
        <v>0</v>
      </c>
      <c r="M214" s="101"/>
      <c r="N214" s="101"/>
      <c r="O214" s="101"/>
      <c r="P214" s="101"/>
      <c r="Q214" s="97">
        <f t="shared" si="66"/>
        <v>0</v>
      </c>
      <c r="R214" s="98">
        <f t="shared" si="63"/>
        <v>407800</v>
      </c>
      <c r="S214" s="9"/>
      <c r="T214" s="9"/>
    </row>
    <row r="215" spans="3:20" s="6" customFormat="1" ht="45" customHeight="1" hidden="1">
      <c r="C215" s="10"/>
      <c r="D215" s="10"/>
      <c r="E215" s="10"/>
      <c r="F215" s="36" t="s">
        <v>483</v>
      </c>
      <c r="G215" s="97">
        <f t="shared" si="69"/>
        <v>0</v>
      </c>
      <c r="H215" s="152"/>
      <c r="I215" s="101"/>
      <c r="J215" s="101"/>
      <c r="K215" s="101"/>
      <c r="L215" s="97">
        <f t="shared" si="68"/>
        <v>0</v>
      </c>
      <c r="M215" s="101"/>
      <c r="N215" s="101"/>
      <c r="O215" s="101"/>
      <c r="P215" s="101"/>
      <c r="Q215" s="97">
        <f t="shared" si="66"/>
        <v>0</v>
      </c>
      <c r="R215" s="98">
        <f t="shared" si="63"/>
        <v>0</v>
      </c>
      <c r="S215" s="9"/>
      <c r="T215" s="9"/>
    </row>
    <row r="216" spans="3:20" s="6" customFormat="1" ht="110.25" customHeight="1" hidden="1">
      <c r="C216" s="10"/>
      <c r="D216" s="10"/>
      <c r="E216" s="10"/>
      <c r="F216" s="36" t="s">
        <v>702</v>
      </c>
      <c r="G216" s="97"/>
      <c r="H216" s="152"/>
      <c r="I216" s="101"/>
      <c r="J216" s="101"/>
      <c r="K216" s="101"/>
      <c r="L216" s="97">
        <f t="shared" si="68"/>
        <v>0</v>
      </c>
      <c r="M216" s="101"/>
      <c r="N216" s="101"/>
      <c r="O216" s="101"/>
      <c r="P216" s="101"/>
      <c r="Q216" s="97">
        <f t="shared" si="66"/>
        <v>0</v>
      </c>
      <c r="R216" s="98">
        <f t="shared" si="63"/>
        <v>0</v>
      </c>
      <c r="S216" s="9"/>
      <c r="T216" s="9"/>
    </row>
    <row r="217" spans="3:20" s="6" customFormat="1" ht="29.25" customHeight="1">
      <c r="C217" s="10"/>
      <c r="D217" s="10"/>
      <c r="E217" s="10"/>
      <c r="F217" s="36" t="s">
        <v>429</v>
      </c>
      <c r="G217" s="97">
        <f>H217+K217</f>
        <v>516172</v>
      </c>
      <c r="H217" s="97">
        <f>728600-74500-137928</f>
        <v>516172</v>
      </c>
      <c r="I217" s="101"/>
      <c r="J217" s="101"/>
      <c r="K217" s="101"/>
      <c r="L217" s="97">
        <f t="shared" si="68"/>
        <v>0</v>
      </c>
      <c r="M217" s="101"/>
      <c r="N217" s="101"/>
      <c r="O217" s="101"/>
      <c r="P217" s="101"/>
      <c r="Q217" s="97">
        <f t="shared" si="66"/>
        <v>0</v>
      </c>
      <c r="R217" s="98">
        <f t="shared" si="63"/>
        <v>516172</v>
      </c>
      <c r="S217" s="9"/>
      <c r="T217" s="9"/>
    </row>
    <row r="218" spans="3:20" s="6" customFormat="1" ht="42" customHeight="1">
      <c r="C218" s="10"/>
      <c r="D218" s="10"/>
      <c r="E218" s="10"/>
      <c r="F218" s="36" t="s">
        <v>173</v>
      </c>
      <c r="G218" s="97">
        <f>H218+K218</f>
        <v>509229</v>
      </c>
      <c r="H218" s="97">
        <f>477000+30000+80000-77771</f>
        <v>509229</v>
      </c>
      <c r="I218" s="101"/>
      <c r="J218" s="101"/>
      <c r="K218" s="101"/>
      <c r="L218" s="97">
        <f t="shared" si="68"/>
        <v>0</v>
      </c>
      <c r="M218" s="101"/>
      <c r="N218" s="101"/>
      <c r="O218" s="101"/>
      <c r="P218" s="101"/>
      <c r="Q218" s="97">
        <f t="shared" si="66"/>
        <v>0</v>
      </c>
      <c r="R218" s="98">
        <f t="shared" si="63"/>
        <v>509229</v>
      </c>
      <c r="S218" s="9"/>
      <c r="T218" s="9"/>
    </row>
    <row r="219" spans="3:20" s="5" customFormat="1" ht="60.75" customHeight="1">
      <c r="C219" s="25" t="s">
        <v>381</v>
      </c>
      <c r="D219" s="25" t="s">
        <v>406</v>
      </c>
      <c r="E219" s="25" t="s">
        <v>140</v>
      </c>
      <c r="F219" s="35" t="s">
        <v>382</v>
      </c>
      <c r="G219" s="97">
        <f>H219+K219</f>
        <v>327042</v>
      </c>
      <c r="H219" s="149">
        <f>SUM(H220:H221)</f>
        <v>327042</v>
      </c>
      <c r="I219" s="149">
        <f aca="true" t="shared" si="72" ref="I219:P219">SUM(I220:I221)</f>
        <v>0</v>
      </c>
      <c r="J219" s="149">
        <f t="shared" si="72"/>
        <v>0</v>
      </c>
      <c r="K219" s="149">
        <f t="shared" si="72"/>
        <v>0</v>
      </c>
      <c r="L219" s="97">
        <f t="shared" si="68"/>
        <v>0</v>
      </c>
      <c r="M219" s="149">
        <f t="shared" si="72"/>
        <v>0</v>
      </c>
      <c r="N219" s="149">
        <f t="shared" si="72"/>
        <v>0</v>
      </c>
      <c r="O219" s="149">
        <f t="shared" si="72"/>
        <v>0</v>
      </c>
      <c r="P219" s="149">
        <f t="shared" si="72"/>
        <v>0</v>
      </c>
      <c r="Q219" s="97">
        <f t="shared" si="66"/>
        <v>0</v>
      </c>
      <c r="R219" s="98">
        <f t="shared" si="63"/>
        <v>327042</v>
      </c>
      <c r="S219" s="4"/>
      <c r="T219" s="4"/>
    </row>
    <row r="220" spans="3:20" s="6" customFormat="1" ht="139.5" customHeight="1">
      <c r="C220" s="10"/>
      <c r="D220" s="10"/>
      <c r="E220" s="10"/>
      <c r="F220" s="36" t="s">
        <v>551</v>
      </c>
      <c r="G220" s="97">
        <f aca="true" t="shared" si="73" ref="G220:G238">H220+K220</f>
        <v>254042</v>
      </c>
      <c r="H220" s="97">
        <f>274900-20858</f>
        <v>254042</v>
      </c>
      <c r="I220" s="101"/>
      <c r="J220" s="101"/>
      <c r="K220" s="101"/>
      <c r="L220" s="97">
        <f t="shared" si="68"/>
        <v>0</v>
      </c>
      <c r="M220" s="101"/>
      <c r="N220" s="101"/>
      <c r="O220" s="101"/>
      <c r="P220" s="101"/>
      <c r="Q220" s="97">
        <f t="shared" si="66"/>
        <v>0</v>
      </c>
      <c r="R220" s="98">
        <f aca="true" t="shared" si="74" ref="R220:R240">L220+G220</f>
        <v>254042</v>
      </c>
      <c r="S220" s="9"/>
      <c r="T220" s="9"/>
    </row>
    <row r="221" spans="3:20" s="6" customFormat="1" ht="53.25" customHeight="1">
      <c r="C221" s="10"/>
      <c r="D221" s="10"/>
      <c r="E221" s="10"/>
      <c r="F221" s="36" t="s">
        <v>552</v>
      </c>
      <c r="G221" s="97">
        <f t="shared" si="73"/>
        <v>73000</v>
      </c>
      <c r="H221" s="97">
        <f>67900+5100</f>
        <v>73000</v>
      </c>
      <c r="I221" s="101"/>
      <c r="J221" s="101"/>
      <c r="K221" s="101"/>
      <c r="L221" s="97">
        <f t="shared" si="68"/>
        <v>0</v>
      </c>
      <c r="M221" s="101"/>
      <c r="N221" s="101"/>
      <c r="O221" s="101"/>
      <c r="P221" s="101"/>
      <c r="Q221" s="97">
        <f t="shared" si="66"/>
        <v>0</v>
      </c>
      <c r="R221" s="98">
        <f t="shared" si="74"/>
        <v>73000</v>
      </c>
      <c r="S221" s="9"/>
      <c r="T221" s="9"/>
    </row>
    <row r="222" spans="3:20" s="6" customFormat="1" ht="159.75" customHeight="1" hidden="1">
      <c r="C222" s="25" t="s">
        <v>268</v>
      </c>
      <c r="D222" s="25" t="s">
        <v>348</v>
      </c>
      <c r="E222" s="25" t="s">
        <v>136</v>
      </c>
      <c r="F222" s="35" t="s">
        <v>703</v>
      </c>
      <c r="G222" s="97">
        <f t="shared" si="73"/>
        <v>0</v>
      </c>
      <c r="H222" s="97"/>
      <c r="I222" s="101"/>
      <c r="J222" s="101"/>
      <c r="K222" s="101"/>
      <c r="L222" s="97">
        <f t="shared" si="68"/>
        <v>0</v>
      </c>
      <c r="M222" s="97"/>
      <c r="N222" s="101"/>
      <c r="O222" s="101"/>
      <c r="P222" s="101"/>
      <c r="Q222" s="97">
        <f t="shared" si="66"/>
        <v>0</v>
      </c>
      <c r="R222" s="98">
        <f t="shared" si="74"/>
        <v>0</v>
      </c>
      <c r="S222" s="9"/>
      <c r="T222" s="4"/>
    </row>
    <row r="223" spans="3:21" s="5" customFormat="1" ht="38.25" customHeight="1">
      <c r="C223" s="25" t="s">
        <v>407</v>
      </c>
      <c r="D223" s="25" t="s">
        <v>373</v>
      </c>
      <c r="E223" s="25" t="s">
        <v>131</v>
      </c>
      <c r="F223" s="35" t="s">
        <v>408</v>
      </c>
      <c r="G223" s="97">
        <f t="shared" si="73"/>
        <v>3459738</v>
      </c>
      <c r="H223" s="149">
        <f>SUM(H224:H227)</f>
        <v>3459738</v>
      </c>
      <c r="I223" s="149">
        <f>SUM(I224:I227)</f>
        <v>0</v>
      </c>
      <c r="J223" s="149">
        <f>SUM(J224:J227)</f>
        <v>0</v>
      </c>
      <c r="K223" s="149">
        <f>SUM(K224:K227)</f>
        <v>0</v>
      </c>
      <c r="L223" s="97">
        <f t="shared" si="68"/>
        <v>0</v>
      </c>
      <c r="M223" s="149">
        <f>SUM(M224:M227)</f>
        <v>0</v>
      </c>
      <c r="N223" s="149">
        <f>SUM(N224:N227)</f>
        <v>0</v>
      </c>
      <c r="O223" s="149">
        <f>SUM(O224:O227)</f>
        <v>0</v>
      </c>
      <c r="P223" s="149">
        <f>SUM(P224:P227)</f>
        <v>0</v>
      </c>
      <c r="Q223" s="97">
        <f t="shared" si="66"/>
        <v>0</v>
      </c>
      <c r="R223" s="98">
        <f t="shared" si="74"/>
        <v>3459738</v>
      </c>
      <c r="S223" s="4"/>
      <c r="T223" s="4"/>
      <c r="U223" s="12"/>
    </row>
    <row r="224" spans="3:20" s="6" customFormat="1" ht="27.75" customHeight="1">
      <c r="C224" s="10"/>
      <c r="D224" s="10"/>
      <c r="E224" s="10"/>
      <c r="F224" s="26" t="s">
        <v>704</v>
      </c>
      <c r="G224" s="97">
        <f t="shared" si="73"/>
        <v>88400</v>
      </c>
      <c r="H224" s="97">
        <v>88400</v>
      </c>
      <c r="I224" s="101"/>
      <c r="J224" s="101"/>
      <c r="K224" s="101"/>
      <c r="L224" s="97">
        <f t="shared" si="68"/>
        <v>0</v>
      </c>
      <c r="M224" s="101"/>
      <c r="N224" s="101"/>
      <c r="O224" s="101"/>
      <c r="P224" s="101"/>
      <c r="Q224" s="97">
        <f t="shared" si="66"/>
        <v>0</v>
      </c>
      <c r="R224" s="98">
        <f t="shared" si="74"/>
        <v>88400</v>
      </c>
      <c r="S224" s="9"/>
      <c r="T224" s="9"/>
    </row>
    <row r="225" spans="3:21" s="6" customFormat="1" ht="28.5" customHeight="1">
      <c r="C225" s="10"/>
      <c r="D225" s="10"/>
      <c r="E225" s="10"/>
      <c r="F225" s="26" t="s">
        <v>144</v>
      </c>
      <c r="G225" s="97">
        <f t="shared" si="73"/>
        <v>1776083</v>
      </c>
      <c r="H225" s="97">
        <f>1801600+54500-80017</f>
        <v>1776083</v>
      </c>
      <c r="I225" s="101"/>
      <c r="J225" s="101"/>
      <c r="K225" s="101"/>
      <c r="L225" s="97">
        <f t="shared" si="68"/>
        <v>0</v>
      </c>
      <c r="M225" s="101"/>
      <c r="N225" s="101"/>
      <c r="O225" s="101"/>
      <c r="P225" s="101"/>
      <c r="Q225" s="97">
        <f t="shared" si="66"/>
        <v>0</v>
      </c>
      <c r="R225" s="98">
        <f t="shared" si="74"/>
        <v>1776083</v>
      </c>
      <c r="S225" s="9"/>
      <c r="T225" s="9"/>
      <c r="U225" s="27"/>
    </row>
    <row r="226" spans="3:21" s="6" customFormat="1" ht="36.75" customHeight="1">
      <c r="C226" s="10"/>
      <c r="D226" s="10"/>
      <c r="E226" s="10"/>
      <c r="F226" s="26" t="s">
        <v>567</v>
      </c>
      <c r="G226" s="97">
        <f t="shared" si="73"/>
        <v>70600</v>
      </c>
      <c r="H226" s="97">
        <f>55000+20000+20000-17000-7400</f>
        <v>70600</v>
      </c>
      <c r="I226" s="101"/>
      <c r="J226" s="101"/>
      <c r="K226" s="101"/>
      <c r="L226" s="97">
        <f t="shared" si="68"/>
        <v>0</v>
      </c>
      <c r="M226" s="101"/>
      <c r="N226" s="101"/>
      <c r="O226" s="101"/>
      <c r="P226" s="101"/>
      <c r="Q226" s="97">
        <f t="shared" si="66"/>
        <v>0</v>
      </c>
      <c r="R226" s="98">
        <f t="shared" si="74"/>
        <v>70600</v>
      </c>
      <c r="S226" s="9"/>
      <c r="T226" s="9"/>
      <c r="U226" s="27"/>
    </row>
    <row r="227" spans="3:21" s="6" customFormat="1" ht="42.75" customHeight="1">
      <c r="C227" s="10"/>
      <c r="D227" s="10"/>
      <c r="E227" s="10"/>
      <c r="F227" s="26" t="s">
        <v>437</v>
      </c>
      <c r="G227" s="97">
        <f t="shared" si="73"/>
        <v>1524655</v>
      </c>
      <c r="H227" s="97">
        <f>533500+88000+224000+434900+244255</f>
        <v>1524655</v>
      </c>
      <c r="I227" s="101"/>
      <c r="J227" s="101"/>
      <c r="K227" s="101"/>
      <c r="L227" s="97">
        <f t="shared" si="68"/>
        <v>0</v>
      </c>
      <c r="M227" s="101"/>
      <c r="N227" s="101"/>
      <c r="O227" s="101"/>
      <c r="P227" s="101"/>
      <c r="Q227" s="97">
        <f t="shared" si="66"/>
        <v>0</v>
      </c>
      <c r="R227" s="98">
        <f t="shared" si="74"/>
        <v>1524655</v>
      </c>
      <c r="S227" s="9"/>
      <c r="T227" s="9"/>
      <c r="U227" s="27"/>
    </row>
    <row r="228" spans="3:21" s="5" customFormat="1" ht="32.25" customHeight="1">
      <c r="C228" s="25" t="s">
        <v>375</v>
      </c>
      <c r="D228" s="25" t="s">
        <v>374</v>
      </c>
      <c r="E228" s="25" t="s">
        <v>156</v>
      </c>
      <c r="F228" s="35" t="s">
        <v>269</v>
      </c>
      <c r="G228" s="97">
        <f t="shared" si="73"/>
        <v>52259</v>
      </c>
      <c r="H228" s="149">
        <f>H229</f>
        <v>52259</v>
      </c>
      <c r="I228" s="149">
        <f aca="true" t="shared" si="75" ref="I228:P228">I229</f>
        <v>43287</v>
      </c>
      <c r="J228" s="149">
        <f t="shared" si="75"/>
        <v>0</v>
      </c>
      <c r="K228" s="149">
        <f t="shared" si="75"/>
        <v>0</v>
      </c>
      <c r="L228" s="97">
        <f t="shared" si="68"/>
        <v>0</v>
      </c>
      <c r="M228" s="149">
        <f t="shared" si="75"/>
        <v>0</v>
      </c>
      <c r="N228" s="149">
        <f t="shared" si="75"/>
        <v>0</v>
      </c>
      <c r="O228" s="149">
        <f t="shared" si="75"/>
        <v>0</v>
      </c>
      <c r="P228" s="149">
        <f t="shared" si="75"/>
        <v>0</v>
      </c>
      <c r="Q228" s="97">
        <f t="shared" si="66"/>
        <v>0</v>
      </c>
      <c r="R228" s="98">
        <f t="shared" si="74"/>
        <v>52259</v>
      </c>
      <c r="S228" s="4"/>
      <c r="T228" s="4"/>
      <c r="U228" s="12"/>
    </row>
    <row r="229" spans="3:21" s="6" customFormat="1" ht="36.75" customHeight="1">
      <c r="C229" s="10"/>
      <c r="D229" s="10"/>
      <c r="E229" s="10"/>
      <c r="F229" s="36" t="s">
        <v>473</v>
      </c>
      <c r="G229" s="97">
        <f t="shared" si="73"/>
        <v>52259</v>
      </c>
      <c r="H229" s="97">
        <f>153000-100741</f>
        <v>52259</v>
      </c>
      <c r="I229" s="97">
        <f>125000-81713</f>
        <v>43287</v>
      </c>
      <c r="J229" s="101"/>
      <c r="K229" s="101"/>
      <c r="L229" s="97">
        <f t="shared" si="68"/>
        <v>0</v>
      </c>
      <c r="M229" s="101"/>
      <c r="N229" s="101"/>
      <c r="O229" s="101"/>
      <c r="P229" s="101"/>
      <c r="Q229" s="97">
        <f t="shared" si="66"/>
        <v>0</v>
      </c>
      <c r="R229" s="98">
        <f t="shared" si="74"/>
        <v>52259</v>
      </c>
      <c r="S229" s="9"/>
      <c r="T229" s="9"/>
      <c r="U229" s="40"/>
    </row>
    <row r="230" spans="3:21" s="6" customFormat="1" ht="36.75" customHeight="1" hidden="1">
      <c r="C230" s="20" t="s">
        <v>67</v>
      </c>
      <c r="D230" s="20" t="s">
        <v>325</v>
      </c>
      <c r="E230" s="20"/>
      <c r="F230" s="33" t="s">
        <v>326</v>
      </c>
      <c r="G230" s="97">
        <f t="shared" si="73"/>
        <v>0</v>
      </c>
      <c r="H230" s="97"/>
      <c r="I230" s="97"/>
      <c r="J230" s="101"/>
      <c r="K230" s="101"/>
      <c r="L230" s="97">
        <f t="shared" si="68"/>
        <v>0</v>
      </c>
      <c r="M230" s="101"/>
      <c r="N230" s="101"/>
      <c r="O230" s="101"/>
      <c r="P230" s="101"/>
      <c r="Q230" s="97">
        <f t="shared" si="66"/>
        <v>0</v>
      </c>
      <c r="R230" s="98">
        <f t="shared" si="74"/>
        <v>0</v>
      </c>
      <c r="S230" s="9"/>
      <c r="T230" s="9"/>
      <c r="U230" s="40"/>
    </row>
    <row r="231" spans="3:21" s="6" customFormat="1" ht="57.75" customHeight="1" hidden="1">
      <c r="C231" s="99" t="s">
        <v>11</v>
      </c>
      <c r="D231" s="99" t="s">
        <v>12</v>
      </c>
      <c r="E231" s="99" t="s">
        <v>554</v>
      </c>
      <c r="F231" s="35" t="s">
        <v>705</v>
      </c>
      <c r="G231" s="97">
        <f t="shared" si="73"/>
        <v>0</v>
      </c>
      <c r="H231" s="97"/>
      <c r="I231" s="97"/>
      <c r="J231" s="101"/>
      <c r="K231" s="101"/>
      <c r="L231" s="97">
        <f t="shared" si="68"/>
        <v>0</v>
      </c>
      <c r="M231" s="97"/>
      <c r="N231" s="97"/>
      <c r="O231" s="97"/>
      <c r="P231" s="97"/>
      <c r="Q231" s="97">
        <f t="shared" si="66"/>
        <v>0</v>
      </c>
      <c r="R231" s="98">
        <f t="shared" si="74"/>
        <v>0</v>
      </c>
      <c r="S231" s="9"/>
      <c r="T231" s="9"/>
      <c r="U231" s="40"/>
    </row>
    <row r="232" spans="3:21" s="6" customFormat="1" ht="33.75" customHeight="1">
      <c r="C232" s="124" t="s">
        <v>66</v>
      </c>
      <c r="D232" s="124" t="s">
        <v>30</v>
      </c>
      <c r="E232" s="124"/>
      <c r="F232" s="33" t="s">
        <v>63</v>
      </c>
      <c r="G232" s="98">
        <f t="shared" si="73"/>
        <v>0</v>
      </c>
      <c r="H232" s="98">
        <f>H233+H237+H239</f>
        <v>0</v>
      </c>
      <c r="I232" s="98">
        <f aca="true" t="shared" si="76" ref="I232:P232">I233+I237+I239</f>
        <v>0</v>
      </c>
      <c r="J232" s="98">
        <f t="shared" si="76"/>
        <v>0</v>
      </c>
      <c r="K232" s="98">
        <f t="shared" si="76"/>
        <v>0</v>
      </c>
      <c r="L232" s="98">
        <f t="shared" si="76"/>
        <v>442263</v>
      </c>
      <c r="M232" s="98">
        <f t="shared" si="76"/>
        <v>442263</v>
      </c>
      <c r="N232" s="98">
        <f t="shared" si="76"/>
        <v>0</v>
      </c>
      <c r="O232" s="98">
        <f t="shared" si="76"/>
        <v>0</v>
      </c>
      <c r="P232" s="98">
        <f t="shared" si="76"/>
        <v>0</v>
      </c>
      <c r="Q232" s="98">
        <f t="shared" si="66"/>
        <v>442263</v>
      </c>
      <c r="R232" s="98">
        <f t="shared" si="74"/>
        <v>442263</v>
      </c>
      <c r="S232" s="9"/>
      <c r="T232" s="9"/>
      <c r="U232" s="40"/>
    </row>
    <row r="233" spans="3:21" s="5" customFormat="1" ht="42" customHeight="1">
      <c r="C233" s="25" t="s">
        <v>496</v>
      </c>
      <c r="D233" s="25" t="s">
        <v>497</v>
      </c>
      <c r="E233" s="25" t="s">
        <v>124</v>
      </c>
      <c r="F233" s="34" t="s">
        <v>498</v>
      </c>
      <c r="G233" s="97">
        <f t="shared" si="73"/>
        <v>0</v>
      </c>
      <c r="H233" s="149">
        <f>H234+H235</f>
        <v>0</v>
      </c>
      <c r="I233" s="149">
        <f>I234+I235</f>
        <v>0</v>
      </c>
      <c r="J233" s="149">
        <f>J234+J235</f>
        <v>0</v>
      </c>
      <c r="K233" s="149">
        <f>K234+K235</f>
        <v>0</v>
      </c>
      <c r="L233" s="97">
        <f t="shared" si="68"/>
        <v>305000</v>
      </c>
      <c r="M233" s="149">
        <f>SUM(M234:M236)</f>
        <v>305000</v>
      </c>
      <c r="N233" s="149">
        <f>SUM(N234:N236)</f>
        <v>0</v>
      </c>
      <c r="O233" s="149">
        <f>SUM(O234:O236)</f>
        <v>0</v>
      </c>
      <c r="P233" s="149">
        <f>SUM(P234:P236)</f>
        <v>0</v>
      </c>
      <c r="Q233" s="97">
        <f t="shared" si="66"/>
        <v>305000</v>
      </c>
      <c r="R233" s="98">
        <f t="shared" si="74"/>
        <v>305000</v>
      </c>
      <c r="S233" s="4"/>
      <c r="T233" s="4"/>
      <c r="U233" s="12"/>
    </row>
    <row r="234" spans="3:21" s="6" customFormat="1" ht="57.75" customHeight="1" hidden="1">
      <c r="C234" s="10"/>
      <c r="D234" s="10"/>
      <c r="E234" s="10"/>
      <c r="F234" s="26" t="s">
        <v>662</v>
      </c>
      <c r="G234" s="97">
        <f t="shared" si="73"/>
        <v>0</v>
      </c>
      <c r="H234" s="101"/>
      <c r="I234" s="101"/>
      <c r="J234" s="101"/>
      <c r="K234" s="101"/>
      <c r="L234" s="97">
        <f t="shared" si="68"/>
        <v>0</v>
      </c>
      <c r="M234" s="97"/>
      <c r="N234" s="97"/>
      <c r="O234" s="97"/>
      <c r="P234" s="97"/>
      <c r="Q234" s="97">
        <f t="shared" si="66"/>
        <v>0</v>
      </c>
      <c r="R234" s="98">
        <f t="shared" si="74"/>
        <v>0</v>
      </c>
      <c r="S234" s="9"/>
      <c r="T234" s="9"/>
      <c r="U234" s="40"/>
    </row>
    <row r="235" spans="3:21" s="6" customFormat="1" ht="51" customHeight="1" hidden="1">
      <c r="C235" s="10"/>
      <c r="D235" s="10"/>
      <c r="E235" s="10"/>
      <c r="F235" s="26" t="s">
        <v>499</v>
      </c>
      <c r="G235" s="97">
        <f t="shared" si="73"/>
        <v>0</v>
      </c>
      <c r="H235" s="101"/>
      <c r="I235" s="101"/>
      <c r="J235" s="101"/>
      <c r="K235" s="101"/>
      <c r="L235" s="97">
        <f t="shared" si="68"/>
        <v>0</v>
      </c>
      <c r="M235" s="97"/>
      <c r="N235" s="101"/>
      <c r="O235" s="101"/>
      <c r="P235" s="101"/>
      <c r="Q235" s="97">
        <f t="shared" si="66"/>
        <v>0</v>
      </c>
      <c r="R235" s="98">
        <f t="shared" si="74"/>
        <v>0</v>
      </c>
      <c r="S235" s="9"/>
      <c r="T235" s="9"/>
      <c r="U235" s="40"/>
    </row>
    <row r="236" spans="3:21" s="6" customFormat="1" ht="55.5" customHeight="1">
      <c r="C236" s="10"/>
      <c r="D236" s="10"/>
      <c r="E236" s="10"/>
      <c r="F236" s="26" t="s">
        <v>706</v>
      </c>
      <c r="G236" s="97">
        <f t="shared" si="73"/>
        <v>0</v>
      </c>
      <c r="H236" s="101"/>
      <c r="I236" s="101"/>
      <c r="J236" s="101"/>
      <c r="K236" s="101"/>
      <c r="L236" s="97">
        <f t="shared" si="68"/>
        <v>305000</v>
      </c>
      <c r="M236" s="97">
        <f>200000+105000</f>
        <v>305000</v>
      </c>
      <c r="N236" s="97"/>
      <c r="O236" s="97"/>
      <c r="P236" s="97"/>
      <c r="Q236" s="97">
        <f t="shared" si="66"/>
        <v>305000</v>
      </c>
      <c r="R236" s="98">
        <f t="shared" si="74"/>
        <v>305000</v>
      </c>
      <c r="S236" s="9"/>
      <c r="T236" s="9"/>
      <c r="U236" s="40"/>
    </row>
    <row r="237" spans="3:21" s="6" customFormat="1" ht="30" customHeight="1">
      <c r="C237" s="25" t="s">
        <v>629</v>
      </c>
      <c r="D237" s="25" t="s">
        <v>495</v>
      </c>
      <c r="E237" s="25" t="s">
        <v>630</v>
      </c>
      <c r="F237" s="59" t="s">
        <v>500</v>
      </c>
      <c r="G237" s="97">
        <f t="shared" si="73"/>
        <v>0</v>
      </c>
      <c r="H237" s="97">
        <f>H238</f>
        <v>0</v>
      </c>
      <c r="I237" s="97">
        <f aca="true" t="shared" si="77" ref="I237:P237">I238</f>
        <v>0</v>
      </c>
      <c r="J237" s="97">
        <f t="shared" si="77"/>
        <v>0</v>
      </c>
      <c r="K237" s="97">
        <f t="shared" si="77"/>
        <v>0</v>
      </c>
      <c r="L237" s="97">
        <f t="shared" si="68"/>
        <v>137263</v>
      </c>
      <c r="M237" s="97">
        <f t="shared" si="77"/>
        <v>137263</v>
      </c>
      <c r="N237" s="97">
        <f t="shared" si="77"/>
        <v>0</v>
      </c>
      <c r="O237" s="97">
        <f t="shared" si="77"/>
        <v>0</v>
      </c>
      <c r="P237" s="97">
        <f t="shared" si="77"/>
        <v>0</v>
      </c>
      <c r="Q237" s="97">
        <f>M237</f>
        <v>137263</v>
      </c>
      <c r="R237" s="98">
        <f>L237+G237</f>
        <v>137263</v>
      </c>
      <c r="S237" s="9"/>
      <c r="T237" s="9"/>
      <c r="U237" s="40"/>
    </row>
    <row r="238" spans="3:21" s="6" customFormat="1" ht="30.75" customHeight="1">
      <c r="C238" s="10"/>
      <c r="D238" s="10"/>
      <c r="E238" s="10"/>
      <c r="F238" s="26" t="s">
        <v>631</v>
      </c>
      <c r="G238" s="97">
        <f t="shared" si="73"/>
        <v>0</v>
      </c>
      <c r="H238" s="101"/>
      <c r="I238" s="101"/>
      <c r="J238" s="101"/>
      <c r="K238" s="101"/>
      <c r="L238" s="97">
        <f t="shared" si="68"/>
        <v>137263</v>
      </c>
      <c r="M238" s="97">
        <v>137263</v>
      </c>
      <c r="N238" s="97"/>
      <c r="O238" s="97"/>
      <c r="P238" s="97"/>
      <c r="Q238" s="97">
        <f>M238</f>
        <v>137263</v>
      </c>
      <c r="R238" s="98">
        <f>L238+G238</f>
        <v>137263</v>
      </c>
      <c r="S238" s="9"/>
      <c r="T238" s="9"/>
      <c r="U238" s="40"/>
    </row>
    <row r="239" spans="3:21" s="5" customFormat="1" ht="96" customHeight="1" hidden="1">
      <c r="C239" s="25" t="s">
        <v>377</v>
      </c>
      <c r="D239" s="25" t="s">
        <v>378</v>
      </c>
      <c r="E239" s="25" t="s">
        <v>124</v>
      </c>
      <c r="F239" s="34" t="s">
        <v>379</v>
      </c>
      <c r="G239" s="97">
        <f aca="true" t="shared" si="78" ref="G239:G250">H239+K239</f>
        <v>0</v>
      </c>
      <c r="H239" s="149">
        <f>H240</f>
        <v>0</v>
      </c>
      <c r="I239" s="149">
        <f>I240</f>
        <v>0</v>
      </c>
      <c r="J239" s="149">
        <f>J240</f>
        <v>0</v>
      </c>
      <c r="K239" s="149">
        <f>K240</f>
        <v>0</v>
      </c>
      <c r="L239" s="97">
        <f>N239+Q239</f>
        <v>0</v>
      </c>
      <c r="M239" s="149">
        <f>M240</f>
        <v>0</v>
      </c>
      <c r="N239" s="149">
        <f>N240</f>
        <v>0</v>
      </c>
      <c r="O239" s="149">
        <f>O240</f>
        <v>0</v>
      </c>
      <c r="P239" s="149">
        <f>P240</f>
        <v>0</v>
      </c>
      <c r="Q239" s="97">
        <f t="shared" si="66"/>
        <v>0</v>
      </c>
      <c r="R239" s="98">
        <f t="shared" si="74"/>
        <v>0</v>
      </c>
      <c r="S239" s="4"/>
      <c r="T239" s="4"/>
      <c r="U239" s="12"/>
    </row>
    <row r="240" spans="3:21" s="6" customFormat="1" ht="41.25" customHeight="1" hidden="1">
      <c r="C240" s="10"/>
      <c r="D240" s="10"/>
      <c r="E240" s="10"/>
      <c r="F240" s="26" t="s">
        <v>194</v>
      </c>
      <c r="G240" s="97">
        <f t="shared" si="78"/>
        <v>0</v>
      </c>
      <c r="H240" s="97"/>
      <c r="I240" s="97"/>
      <c r="J240" s="97"/>
      <c r="K240" s="97"/>
      <c r="L240" s="97">
        <f>N240+Q240</f>
        <v>0</v>
      </c>
      <c r="M240" s="101"/>
      <c r="N240" s="101"/>
      <c r="O240" s="101"/>
      <c r="P240" s="101"/>
      <c r="Q240" s="97">
        <f t="shared" si="66"/>
        <v>0</v>
      </c>
      <c r="R240" s="98">
        <f t="shared" si="74"/>
        <v>0</v>
      </c>
      <c r="S240" s="9"/>
      <c r="T240" s="4"/>
      <c r="U240" s="40"/>
    </row>
    <row r="241" spans="3:21" s="6" customFormat="1" ht="41.25" customHeight="1">
      <c r="C241" s="20" t="s">
        <v>594</v>
      </c>
      <c r="D241" s="20" t="s">
        <v>47</v>
      </c>
      <c r="E241" s="20"/>
      <c r="F241" s="22" t="s">
        <v>52</v>
      </c>
      <c r="G241" s="98">
        <v>60000</v>
      </c>
      <c r="H241" s="98">
        <v>60000</v>
      </c>
      <c r="I241" s="98">
        <v>0</v>
      </c>
      <c r="J241" s="98">
        <v>0</v>
      </c>
      <c r="K241" s="98">
        <v>0</v>
      </c>
      <c r="L241" s="98">
        <v>0</v>
      </c>
      <c r="M241" s="147">
        <v>0</v>
      </c>
      <c r="N241" s="147">
        <v>0</v>
      </c>
      <c r="O241" s="147">
        <v>0</v>
      </c>
      <c r="P241" s="147">
        <v>0</v>
      </c>
      <c r="Q241" s="98">
        <v>0</v>
      </c>
      <c r="R241" s="98">
        <v>60000</v>
      </c>
      <c r="S241" s="9"/>
      <c r="T241" s="4"/>
      <c r="U241" s="40"/>
    </row>
    <row r="242" spans="3:21" s="6" customFormat="1" ht="41.25" customHeight="1">
      <c r="C242" s="25" t="s">
        <v>593</v>
      </c>
      <c r="D242" s="25" t="s">
        <v>324</v>
      </c>
      <c r="E242" s="25" t="s">
        <v>172</v>
      </c>
      <c r="F242" s="26" t="s">
        <v>17</v>
      </c>
      <c r="G242" s="97">
        <v>60000</v>
      </c>
      <c r="H242" s="97">
        <v>60000</v>
      </c>
      <c r="I242" s="97">
        <v>0</v>
      </c>
      <c r="J242" s="97">
        <v>0</v>
      </c>
      <c r="K242" s="97">
        <v>0</v>
      </c>
      <c r="L242" s="97">
        <v>0</v>
      </c>
      <c r="M242" s="101">
        <v>0</v>
      </c>
      <c r="N242" s="101">
        <v>0</v>
      </c>
      <c r="O242" s="101">
        <v>0</v>
      </c>
      <c r="P242" s="101">
        <v>0</v>
      </c>
      <c r="Q242" s="97">
        <v>0</v>
      </c>
      <c r="R242" s="98">
        <v>60000</v>
      </c>
      <c r="S242" s="9"/>
      <c r="T242" s="4"/>
      <c r="U242" s="40"/>
    </row>
    <row r="243" spans="3:21" s="6" customFormat="1" ht="57" customHeight="1">
      <c r="C243" s="10"/>
      <c r="D243" s="10"/>
      <c r="E243" s="10"/>
      <c r="F243" s="26" t="s">
        <v>18</v>
      </c>
      <c r="G243" s="97">
        <v>60000</v>
      </c>
      <c r="H243" s="97">
        <v>60000</v>
      </c>
      <c r="I243" s="97"/>
      <c r="J243" s="97"/>
      <c r="K243" s="97"/>
      <c r="L243" s="97">
        <v>0</v>
      </c>
      <c r="M243" s="101"/>
      <c r="N243" s="101"/>
      <c r="O243" s="101"/>
      <c r="P243" s="101"/>
      <c r="Q243" s="97">
        <v>0</v>
      </c>
      <c r="R243" s="98">
        <v>60000</v>
      </c>
      <c r="S243" s="9"/>
      <c r="T243" s="4"/>
      <c r="U243" s="40"/>
    </row>
    <row r="244" spans="3:21" s="6" customFormat="1" ht="106.5" customHeight="1" hidden="1">
      <c r="C244" s="10"/>
      <c r="D244" s="10"/>
      <c r="E244" s="10"/>
      <c r="F244" s="26" t="s">
        <v>614</v>
      </c>
      <c r="G244" s="97">
        <v>0</v>
      </c>
      <c r="H244" s="97">
        <v>0</v>
      </c>
      <c r="I244" s="97"/>
      <c r="J244" s="97"/>
      <c r="K244" s="97"/>
      <c r="L244" s="97">
        <v>0</v>
      </c>
      <c r="M244" s="101"/>
      <c r="N244" s="101"/>
      <c r="O244" s="101"/>
      <c r="P244" s="101"/>
      <c r="Q244" s="97">
        <v>0</v>
      </c>
      <c r="R244" s="98">
        <v>0</v>
      </c>
      <c r="S244" s="9"/>
      <c r="T244" s="4"/>
      <c r="U244" s="40"/>
    </row>
    <row r="245" spans="3:21" s="6" customFormat="1" ht="27.75" customHeight="1">
      <c r="C245" s="20" t="s">
        <v>65</v>
      </c>
      <c r="D245" s="20" t="s">
        <v>33</v>
      </c>
      <c r="E245" s="20"/>
      <c r="F245" s="22" t="s">
        <v>34</v>
      </c>
      <c r="G245" s="98">
        <f>G246+G249</f>
        <v>1540484</v>
      </c>
      <c r="H245" s="98">
        <f aca="true" t="shared" si="79" ref="H245:Q245">H246+H249</f>
        <v>40484</v>
      </c>
      <c r="I245" s="98">
        <f t="shared" si="79"/>
        <v>0</v>
      </c>
      <c r="J245" s="98">
        <f t="shared" si="79"/>
        <v>0</v>
      </c>
      <c r="K245" s="98">
        <f t="shared" si="79"/>
        <v>1500000</v>
      </c>
      <c r="L245" s="98">
        <f t="shared" si="79"/>
        <v>0</v>
      </c>
      <c r="M245" s="98">
        <f t="shared" si="79"/>
        <v>0</v>
      </c>
      <c r="N245" s="98">
        <f t="shared" si="79"/>
        <v>0</v>
      </c>
      <c r="O245" s="98">
        <f t="shared" si="79"/>
        <v>0</v>
      </c>
      <c r="P245" s="98">
        <f t="shared" si="79"/>
        <v>0</v>
      </c>
      <c r="Q245" s="98">
        <f t="shared" si="79"/>
        <v>0</v>
      </c>
      <c r="R245" s="98">
        <f>R246+R249</f>
        <v>1540484</v>
      </c>
      <c r="S245" s="9"/>
      <c r="T245" s="4"/>
      <c r="U245" s="40"/>
    </row>
    <row r="246" spans="3:21" s="6" customFormat="1" ht="34.5" customHeight="1">
      <c r="C246" s="25" t="s">
        <v>271</v>
      </c>
      <c r="D246" s="25" t="s">
        <v>272</v>
      </c>
      <c r="E246" s="25" t="s">
        <v>122</v>
      </c>
      <c r="F246" s="34" t="s">
        <v>270</v>
      </c>
      <c r="G246" s="97">
        <f t="shared" si="78"/>
        <v>1527079</v>
      </c>
      <c r="H246" s="149">
        <f>SUM(H247:H248)</f>
        <v>27079</v>
      </c>
      <c r="I246" s="149">
        <f>SUM(I247:I248)</f>
        <v>0</v>
      </c>
      <c r="J246" s="149">
        <f>SUM(J247:J248)</f>
        <v>0</v>
      </c>
      <c r="K246" s="149">
        <f>K248</f>
        <v>1500000</v>
      </c>
      <c r="L246" s="97">
        <f>N246+Q246</f>
        <v>0</v>
      </c>
      <c r="M246" s="149">
        <f>M248</f>
        <v>0</v>
      </c>
      <c r="N246" s="149">
        <f>N248</f>
        <v>0</v>
      </c>
      <c r="O246" s="149">
        <f>O248</f>
        <v>0</v>
      </c>
      <c r="P246" s="149">
        <f>P248</f>
        <v>0</v>
      </c>
      <c r="Q246" s="97">
        <f>M246</f>
        <v>0</v>
      </c>
      <c r="R246" s="98">
        <f>L246+G246</f>
        <v>1527079</v>
      </c>
      <c r="S246" s="4"/>
      <c r="T246" s="4"/>
      <c r="U246" s="40"/>
    </row>
    <row r="247" spans="3:21" s="6" customFormat="1" ht="124.5" customHeight="1">
      <c r="C247" s="25"/>
      <c r="D247" s="25"/>
      <c r="E247" s="25"/>
      <c r="F247" s="26" t="s">
        <v>591</v>
      </c>
      <c r="G247" s="97">
        <f t="shared" si="78"/>
        <v>27079</v>
      </c>
      <c r="H247" s="149">
        <v>27079</v>
      </c>
      <c r="I247" s="149"/>
      <c r="J247" s="149"/>
      <c r="K247" s="149"/>
      <c r="L247" s="97"/>
      <c r="M247" s="149"/>
      <c r="N247" s="149"/>
      <c r="O247" s="149"/>
      <c r="P247" s="149"/>
      <c r="Q247" s="97"/>
      <c r="R247" s="98">
        <f>L247+G247</f>
        <v>27079</v>
      </c>
      <c r="S247" s="4"/>
      <c r="T247" s="4"/>
      <c r="U247" s="40"/>
    </row>
    <row r="248" spans="3:21" s="6" customFormat="1" ht="120.75" customHeight="1">
      <c r="C248" s="10"/>
      <c r="D248" s="10"/>
      <c r="E248" s="10"/>
      <c r="F248" s="26" t="s">
        <v>527</v>
      </c>
      <c r="G248" s="97">
        <f t="shared" si="78"/>
        <v>1500000</v>
      </c>
      <c r="H248" s="97"/>
      <c r="I248" s="97"/>
      <c r="J248" s="97"/>
      <c r="K248" s="97">
        <v>1500000</v>
      </c>
      <c r="L248" s="97">
        <f>N248+Q248</f>
        <v>0</v>
      </c>
      <c r="M248" s="97"/>
      <c r="N248" s="97"/>
      <c r="O248" s="97"/>
      <c r="P248" s="97"/>
      <c r="Q248" s="97">
        <f t="shared" si="66"/>
        <v>0</v>
      </c>
      <c r="R248" s="98">
        <f>L248+G248</f>
        <v>1500000</v>
      </c>
      <c r="S248" s="9"/>
      <c r="T248" s="4"/>
      <c r="U248" s="40"/>
    </row>
    <row r="249" spans="3:21" s="6" customFormat="1" ht="39" customHeight="1">
      <c r="C249" s="25" t="s">
        <v>590</v>
      </c>
      <c r="D249" s="25" t="s">
        <v>219</v>
      </c>
      <c r="E249" s="25" t="s">
        <v>122</v>
      </c>
      <c r="F249" s="35" t="s">
        <v>503</v>
      </c>
      <c r="G249" s="97">
        <f t="shared" si="78"/>
        <v>13405</v>
      </c>
      <c r="H249" s="97">
        <f>H250</f>
        <v>13405</v>
      </c>
      <c r="I249" s="97">
        <f aca="true" t="shared" si="80" ref="I249:Q249">I250</f>
        <v>0</v>
      </c>
      <c r="J249" s="97">
        <f t="shared" si="80"/>
        <v>0</v>
      </c>
      <c r="K249" s="97">
        <f t="shared" si="80"/>
        <v>0</v>
      </c>
      <c r="L249" s="97">
        <f>N249+Q249</f>
        <v>0</v>
      </c>
      <c r="M249" s="97">
        <f t="shared" si="80"/>
        <v>0</v>
      </c>
      <c r="N249" s="97">
        <f t="shared" si="80"/>
        <v>0</v>
      </c>
      <c r="O249" s="97">
        <f t="shared" si="80"/>
        <v>0</v>
      </c>
      <c r="P249" s="97">
        <f t="shared" si="80"/>
        <v>0</v>
      </c>
      <c r="Q249" s="97">
        <f t="shared" si="80"/>
        <v>0</v>
      </c>
      <c r="R249" s="98">
        <f>L249+G249</f>
        <v>13405</v>
      </c>
      <c r="S249" s="9"/>
      <c r="T249" s="4"/>
      <c r="U249" s="40"/>
    </row>
    <row r="250" spans="3:21" s="6" customFormat="1" ht="145.5" customHeight="1">
      <c r="C250" s="10"/>
      <c r="D250" s="25"/>
      <c r="E250" s="25"/>
      <c r="F250" s="36" t="s">
        <v>592</v>
      </c>
      <c r="G250" s="97">
        <f t="shared" si="78"/>
        <v>13405</v>
      </c>
      <c r="H250" s="97">
        <v>13405</v>
      </c>
      <c r="I250" s="97"/>
      <c r="J250" s="97"/>
      <c r="K250" s="97"/>
      <c r="L250" s="97">
        <f>N250+Q250</f>
        <v>0</v>
      </c>
      <c r="M250" s="97"/>
      <c r="N250" s="97"/>
      <c r="O250" s="97"/>
      <c r="P250" s="97"/>
      <c r="Q250" s="97"/>
      <c r="R250" s="98">
        <f>L250+G250</f>
        <v>13405</v>
      </c>
      <c r="S250" s="9"/>
      <c r="T250" s="4"/>
      <c r="U250" s="40"/>
    </row>
    <row r="251" spans="3:22" s="13" customFormat="1" ht="32.25" customHeight="1">
      <c r="C251" s="20"/>
      <c r="D251" s="20"/>
      <c r="E251" s="20"/>
      <c r="F251" s="45" t="s">
        <v>100</v>
      </c>
      <c r="G251" s="98">
        <f aca="true" t="shared" si="81" ref="G251:R251">G118+G121+G162+G232+G239+G246+G231+G249+G241</f>
        <v>66891330.53</v>
      </c>
      <c r="H251" s="98">
        <f t="shared" si="81"/>
        <v>65391330.53</v>
      </c>
      <c r="I251" s="98">
        <f t="shared" si="81"/>
        <v>13197702</v>
      </c>
      <c r="J251" s="98">
        <f t="shared" si="81"/>
        <v>232000</v>
      </c>
      <c r="K251" s="98">
        <f t="shared" si="81"/>
        <v>1500000</v>
      </c>
      <c r="L251" s="98">
        <f t="shared" si="81"/>
        <v>9839674.16</v>
      </c>
      <c r="M251" s="98">
        <f t="shared" si="81"/>
        <v>9670124.16</v>
      </c>
      <c r="N251" s="98">
        <f t="shared" si="81"/>
        <v>169550</v>
      </c>
      <c r="O251" s="98">
        <f t="shared" si="81"/>
        <v>0</v>
      </c>
      <c r="P251" s="98">
        <f t="shared" si="81"/>
        <v>0</v>
      </c>
      <c r="Q251" s="98">
        <f t="shared" si="81"/>
        <v>9670124.16</v>
      </c>
      <c r="R251" s="98">
        <f t="shared" si="81"/>
        <v>76731004.69</v>
      </c>
      <c r="S251" s="66"/>
      <c r="T251" s="23"/>
      <c r="U251" s="24"/>
      <c r="V251" s="24"/>
    </row>
    <row r="252" spans="3:21" s="13" customFormat="1" ht="48.75" customHeight="1">
      <c r="C252" s="20" t="s">
        <v>206</v>
      </c>
      <c r="D252" s="20"/>
      <c r="E252" s="20"/>
      <c r="F252" s="33" t="s">
        <v>38</v>
      </c>
      <c r="G252" s="98"/>
      <c r="H252" s="98"/>
      <c r="I252" s="98"/>
      <c r="J252" s="98"/>
      <c r="K252" s="98"/>
      <c r="L252" s="98"/>
      <c r="M252" s="98"/>
      <c r="N252" s="98"/>
      <c r="O252" s="98"/>
      <c r="P252" s="98"/>
      <c r="Q252" s="98"/>
      <c r="R252" s="98"/>
      <c r="S252" s="23"/>
      <c r="T252" s="23"/>
      <c r="U252" s="24"/>
    </row>
    <row r="253" spans="3:21" s="6" customFormat="1" ht="42.75" customHeight="1">
      <c r="C253" s="25" t="s">
        <v>304</v>
      </c>
      <c r="D253" s="10"/>
      <c r="E253" s="10"/>
      <c r="F253" s="35" t="s">
        <v>38</v>
      </c>
      <c r="G253" s="101"/>
      <c r="H253" s="101"/>
      <c r="I253" s="101"/>
      <c r="J253" s="101"/>
      <c r="K253" s="101"/>
      <c r="L253" s="101"/>
      <c r="M253" s="101"/>
      <c r="N253" s="101"/>
      <c r="O253" s="101"/>
      <c r="P253" s="101"/>
      <c r="Q253" s="101"/>
      <c r="R253" s="147"/>
      <c r="S253" s="9"/>
      <c r="T253" s="9"/>
      <c r="U253" s="40"/>
    </row>
    <row r="254" spans="3:21" s="6" customFormat="1" ht="28.5" customHeight="1">
      <c r="C254" s="20" t="s">
        <v>39</v>
      </c>
      <c r="D254" s="20" t="s">
        <v>22</v>
      </c>
      <c r="E254" s="10"/>
      <c r="F254" s="33" t="s">
        <v>23</v>
      </c>
      <c r="G254" s="98">
        <f>G255</f>
        <v>2341194</v>
      </c>
      <c r="H254" s="98">
        <f aca="true" t="shared" si="82" ref="H254:R254">H255</f>
        <v>2341194</v>
      </c>
      <c r="I254" s="98">
        <f t="shared" si="82"/>
        <v>1648609</v>
      </c>
      <c r="J254" s="98">
        <f t="shared" si="82"/>
        <v>14605</v>
      </c>
      <c r="K254" s="98">
        <f t="shared" si="82"/>
        <v>0</v>
      </c>
      <c r="L254" s="98">
        <f t="shared" si="82"/>
        <v>8290</v>
      </c>
      <c r="M254" s="98">
        <f t="shared" si="82"/>
        <v>0</v>
      </c>
      <c r="N254" s="98">
        <f t="shared" si="82"/>
        <v>8290</v>
      </c>
      <c r="O254" s="98">
        <f t="shared" si="82"/>
        <v>0</v>
      </c>
      <c r="P254" s="98">
        <f t="shared" si="82"/>
        <v>0</v>
      </c>
      <c r="Q254" s="98">
        <f t="shared" si="82"/>
        <v>0</v>
      </c>
      <c r="R254" s="98">
        <f t="shared" si="82"/>
        <v>2349484</v>
      </c>
      <c r="S254" s="9"/>
      <c r="T254" s="9"/>
      <c r="U254" s="40"/>
    </row>
    <row r="255" spans="1:20" s="5" customFormat="1" ht="44.25" customHeight="1">
      <c r="A255" s="5">
        <v>4</v>
      </c>
      <c r="B255" s="5">
        <v>35</v>
      </c>
      <c r="C255" s="25" t="s">
        <v>207</v>
      </c>
      <c r="D255" s="25" t="s">
        <v>126</v>
      </c>
      <c r="E255" s="25" t="s">
        <v>123</v>
      </c>
      <c r="F255" s="34" t="s">
        <v>208</v>
      </c>
      <c r="G255" s="97">
        <f>H255+K255</f>
        <v>2341194</v>
      </c>
      <c r="H255" s="97">
        <f>SUM(H256:H257)</f>
        <v>2341194</v>
      </c>
      <c r="I255" s="97">
        <f aca="true" t="shared" si="83" ref="I255:P255">SUM(I256:I257)</f>
        <v>1648609</v>
      </c>
      <c r="J255" s="97">
        <f t="shared" si="83"/>
        <v>14605</v>
      </c>
      <c r="K255" s="97">
        <f t="shared" si="83"/>
        <v>0</v>
      </c>
      <c r="L255" s="97">
        <f t="shared" si="83"/>
        <v>8290</v>
      </c>
      <c r="M255" s="97">
        <f t="shared" si="83"/>
        <v>0</v>
      </c>
      <c r="N255" s="97">
        <f t="shared" si="83"/>
        <v>8290</v>
      </c>
      <c r="O255" s="97">
        <f t="shared" si="83"/>
        <v>0</v>
      </c>
      <c r="P255" s="97">
        <f t="shared" si="83"/>
        <v>0</v>
      </c>
      <c r="Q255" s="97">
        <f aca="true" t="shared" si="84" ref="Q255:Q268">M255</f>
        <v>0</v>
      </c>
      <c r="R255" s="98">
        <f>L255+G255</f>
        <v>2349484</v>
      </c>
      <c r="S255" s="9"/>
      <c r="T255" s="4"/>
    </row>
    <row r="256" spans="3:20" s="5" customFormat="1" ht="44.25" customHeight="1">
      <c r="C256" s="25"/>
      <c r="D256" s="25"/>
      <c r="E256" s="25"/>
      <c r="F256" s="26" t="s">
        <v>601</v>
      </c>
      <c r="G256" s="97">
        <f>H256+K256</f>
        <v>2336194</v>
      </c>
      <c r="H256" s="97">
        <f>2264300+71894</f>
        <v>2336194</v>
      </c>
      <c r="I256" s="97">
        <f>1586743+61866</f>
        <v>1648609</v>
      </c>
      <c r="J256" s="97">
        <f>20400-5795</f>
        <v>14605</v>
      </c>
      <c r="K256" s="97"/>
      <c r="L256" s="97">
        <f>N256+Q256</f>
        <v>8290</v>
      </c>
      <c r="M256" s="97"/>
      <c r="N256" s="97">
        <v>8290</v>
      </c>
      <c r="O256" s="97"/>
      <c r="P256" s="97"/>
      <c r="Q256" s="97">
        <f>M256</f>
        <v>0</v>
      </c>
      <c r="R256" s="98">
        <f>L256+G256</f>
        <v>2344484</v>
      </c>
      <c r="S256" s="9"/>
      <c r="T256" s="4"/>
    </row>
    <row r="257" spans="3:20" s="5" customFormat="1" ht="63" customHeight="1">
      <c r="C257" s="25"/>
      <c r="D257" s="25"/>
      <c r="E257" s="25"/>
      <c r="F257" s="26" t="s">
        <v>597</v>
      </c>
      <c r="G257" s="97">
        <f>H257+K257</f>
        <v>5000</v>
      </c>
      <c r="H257" s="97">
        <v>5000</v>
      </c>
      <c r="I257" s="97"/>
      <c r="J257" s="97"/>
      <c r="K257" s="97"/>
      <c r="L257" s="97">
        <f>N257+Q257</f>
        <v>0</v>
      </c>
      <c r="M257" s="97"/>
      <c r="N257" s="97"/>
      <c r="O257" s="97"/>
      <c r="P257" s="97"/>
      <c r="Q257" s="97">
        <f>M257</f>
        <v>0</v>
      </c>
      <c r="R257" s="98">
        <f>L257+G257</f>
        <v>5000</v>
      </c>
      <c r="S257" s="9"/>
      <c r="T257" s="4"/>
    </row>
    <row r="258" spans="3:20" s="13" customFormat="1" ht="38.25" customHeight="1">
      <c r="C258" s="20" t="s">
        <v>327</v>
      </c>
      <c r="D258" s="20" t="s">
        <v>302</v>
      </c>
      <c r="E258" s="20"/>
      <c r="F258" s="22" t="s">
        <v>303</v>
      </c>
      <c r="G258" s="98">
        <f>G267+G259</f>
        <v>6611830</v>
      </c>
      <c r="H258" s="98">
        <f>H267+H259</f>
        <v>6611830</v>
      </c>
      <c r="I258" s="98">
        <f aca="true" t="shared" si="85" ref="I258:R258">I267+I259</f>
        <v>3485500</v>
      </c>
      <c r="J258" s="98">
        <f t="shared" si="85"/>
        <v>260852</v>
      </c>
      <c r="K258" s="98">
        <f t="shared" si="85"/>
        <v>0</v>
      </c>
      <c r="L258" s="98">
        <f t="shared" si="85"/>
        <v>127465</v>
      </c>
      <c r="M258" s="98">
        <f t="shared" si="85"/>
        <v>127465</v>
      </c>
      <c r="N258" s="98">
        <f t="shared" si="85"/>
        <v>0</v>
      </c>
      <c r="O258" s="98">
        <f t="shared" si="85"/>
        <v>0</v>
      </c>
      <c r="P258" s="98">
        <f t="shared" si="85"/>
        <v>0</v>
      </c>
      <c r="Q258" s="97">
        <f t="shared" si="84"/>
        <v>127465</v>
      </c>
      <c r="R258" s="98">
        <f t="shared" si="85"/>
        <v>6739295</v>
      </c>
      <c r="S258" s="23"/>
      <c r="T258" s="23"/>
    </row>
    <row r="259" spans="3:20" s="13" customFormat="1" ht="71.25" customHeight="1">
      <c r="C259" s="25" t="s">
        <v>528</v>
      </c>
      <c r="D259" s="25" t="s">
        <v>529</v>
      </c>
      <c r="E259" s="25" t="s">
        <v>136</v>
      </c>
      <c r="F259" s="34" t="s">
        <v>583</v>
      </c>
      <c r="G259" s="97">
        <f aca="true" t="shared" si="86" ref="G259:G271">H259+K259</f>
        <v>6564830</v>
      </c>
      <c r="H259" s="97">
        <f>SUM(H260:H266)</f>
        <v>6564830</v>
      </c>
      <c r="I259" s="97">
        <f aca="true" t="shared" si="87" ref="I259:P259">SUM(I260:I266)</f>
        <v>3485500</v>
      </c>
      <c r="J259" s="97">
        <f t="shared" si="87"/>
        <v>260852</v>
      </c>
      <c r="K259" s="97">
        <f t="shared" si="87"/>
        <v>0</v>
      </c>
      <c r="L259" s="97">
        <f aca="true" t="shared" si="88" ref="L259:L271">N259+Q259</f>
        <v>127465</v>
      </c>
      <c r="M259" s="97">
        <f t="shared" si="87"/>
        <v>127465</v>
      </c>
      <c r="N259" s="97">
        <f t="shared" si="87"/>
        <v>0</v>
      </c>
      <c r="O259" s="97">
        <f t="shared" si="87"/>
        <v>0</v>
      </c>
      <c r="P259" s="97">
        <f t="shared" si="87"/>
        <v>0</v>
      </c>
      <c r="Q259" s="97">
        <f t="shared" si="84"/>
        <v>127465</v>
      </c>
      <c r="R259" s="98">
        <f aca="true" t="shared" si="89" ref="R259:R271">L259+G259</f>
        <v>6692295</v>
      </c>
      <c r="S259" s="23"/>
      <c r="T259" s="23"/>
    </row>
    <row r="260" spans="3:20" s="13" customFormat="1" ht="50.25" customHeight="1">
      <c r="C260" s="25"/>
      <c r="D260" s="25"/>
      <c r="E260" s="25"/>
      <c r="F260" s="26" t="s">
        <v>707</v>
      </c>
      <c r="G260" s="97">
        <f t="shared" si="86"/>
        <v>5340900</v>
      </c>
      <c r="H260" s="97">
        <v>5340900</v>
      </c>
      <c r="I260" s="97">
        <v>3485500</v>
      </c>
      <c r="J260" s="97">
        <v>260852</v>
      </c>
      <c r="K260" s="98"/>
      <c r="L260" s="97">
        <f t="shared" si="88"/>
        <v>0</v>
      </c>
      <c r="M260" s="98"/>
      <c r="N260" s="98"/>
      <c r="O260" s="98"/>
      <c r="P260" s="98"/>
      <c r="Q260" s="97">
        <f t="shared" si="84"/>
        <v>0</v>
      </c>
      <c r="R260" s="98">
        <f t="shared" si="89"/>
        <v>5340900</v>
      </c>
      <c r="S260" s="23"/>
      <c r="T260" s="23"/>
    </row>
    <row r="261" spans="3:20" s="13" customFormat="1" ht="54.75" customHeight="1">
      <c r="C261" s="25"/>
      <c r="D261" s="25"/>
      <c r="E261" s="25"/>
      <c r="F261" s="26" t="s">
        <v>708</v>
      </c>
      <c r="G261" s="97">
        <f t="shared" si="86"/>
        <v>279398</v>
      </c>
      <c r="H261" s="97">
        <f>270000+9398</f>
        <v>279398</v>
      </c>
      <c r="I261" s="97"/>
      <c r="J261" s="97"/>
      <c r="K261" s="98"/>
      <c r="L261" s="97">
        <f t="shared" si="88"/>
        <v>90602</v>
      </c>
      <c r="M261" s="97">
        <v>90602</v>
      </c>
      <c r="N261" s="98"/>
      <c r="O261" s="98"/>
      <c r="P261" s="98"/>
      <c r="Q261" s="97">
        <f>M261</f>
        <v>90602</v>
      </c>
      <c r="R261" s="98">
        <f>L261+G261</f>
        <v>370000</v>
      </c>
      <c r="S261" s="23"/>
      <c r="T261" s="23"/>
    </row>
    <row r="262" spans="3:20" s="13" customFormat="1" ht="55.5" customHeight="1">
      <c r="C262" s="25"/>
      <c r="D262" s="25"/>
      <c r="E262" s="25"/>
      <c r="F262" s="26" t="s">
        <v>597</v>
      </c>
      <c r="G262" s="97">
        <f t="shared" si="86"/>
        <v>5000</v>
      </c>
      <c r="H262" s="97">
        <v>5000</v>
      </c>
      <c r="I262" s="97"/>
      <c r="J262" s="97"/>
      <c r="K262" s="98"/>
      <c r="L262" s="97">
        <f>N262+Q262</f>
        <v>0</v>
      </c>
      <c r="M262" s="98"/>
      <c r="N262" s="98"/>
      <c r="O262" s="98"/>
      <c r="P262" s="98"/>
      <c r="Q262" s="97">
        <f>M262</f>
        <v>0</v>
      </c>
      <c r="R262" s="98">
        <f t="shared" si="89"/>
        <v>5000</v>
      </c>
      <c r="S262" s="23"/>
      <c r="T262" s="23"/>
    </row>
    <row r="263" spans="3:20" s="13" customFormat="1" ht="39.75" customHeight="1">
      <c r="C263" s="25"/>
      <c r="D263" s="25"/>
      <c r="E263" s="25"/>
      <c r="F263" s="26" t="s">
        <v>437</v>
      </c>
      <c r="G263" s="97">
        <f t="shared" si="86"/>
        <v>8500</v>
      </c>
      <c r="H263" s="97">
        <v>8500</v>
      </c>
      <c r="I263" s="97"/>
      <c r="J263" s="97"/>
      <c r="K263" s="98"/>
      <c r="L263" s="97">
        <f>N263+Q263</f>
        <v>19663</v>
      </c>
      <c r="M263" s="97">
        <v>19663</v>
      </c>
      <c r="N263" s="98"/>
      <c r="O263" s="98"/>
      <c r="P263" s="98"/>
      <c r="Q263" s="97">
        <f>M263</f>
        <v>19663</v>
      </c>
      <c r="R263" s="98">
        <f t="shared" si="89"/>
        <v>28163</v>
      </c>
      <c r="S263" s="23"/>
      <c r="T263" s="23"/>
    </row>
    <row r="264" spans="3:20" s="13" customFormat="1" ht="36.75" customHeight="1">
      <c r="C264" s="25"/>
      <c r="D264" s="25"/>
      <c r="E264" s="25"/>
      <c r="F264" s="26" t="s">
        <v>547</v>
      </c>
      <c r="G264" s="97">
        <f t="shared" si="86"/>
        <v>931032</v>
      </c>
      <c r="H264" s="97">
        <f>500000+135232+303000-7200</f>
        <v>931032</v>
      </c>
      <c r="I264" s="97"/>
      <c r="J264" s="97"/>
      <c r="K264" s="98"/>
      <c r="L264" s="97">
        <f t="shared" si="88"/>
        <v>17200</v>
      </c>
      <c r="M264" s="97">
        <f>10000+7200</f>
        <v>17200</v>
      </c>
      <c r="N264" s="98"/>
      <c r="O264" s="98"/>
      <c r="P264" s="98"/>
      <c r="Q264" s="97">
        <f t="shared" si="84"/>
        <v>17200</v>
      </c>
      <c r="R264" s="98">
        <f t="shared" si="89"/>
        <v>948232</v>
      </c>
      <c r="S264" s="23"/>
      <c r="T264" s="23"/>
    </row>
    <row r="265" spans="3:20" s="13" customFormat="1" ht="84" customHeight="1" hidden="1">
      <c r="C265" s="25"/>
      <c r="D265" s="25"/>
      <c r="E265" s="25"/>
      <c r="F265" s="26" t="s">
        <v>3</v>
      </c>
      <c r="G265" s="97">
        <f t="shared" si="86"/>
        <v>0</v>
      </c>
      <c r="H265" s="97"/>
      <c r="I265" s="97"/>
      <c r="J265" s="97"/>
      <c r="K265" s="98"/>
      <c r="L265" s="97">
        <f t="shared" si="88"/>
        <v>0</v>
      </c>
      <c r="M265" s="97"/>
      <c r="N265" s="98"/>
      <c r="O265" s="98"/>
      <c r="P265" s="98"/>
      <c r="Q265" s="97">
        <f t="shared" si="84"/>
        <v>0</v>
      </c>
      <c r="R265" s="98">
        <f t="shared" si="89"/>
        <v>0</v>
      </c>
      <c r="S265" s="23"/>
      <c r="T265" s="23"/>
    </row>
    <row r="266" spans="3:20" s="13" customFormat="1" ht="106.5" customHeight="1" hidden="1">
      <c r="C266" s="25"/>
      <c r="D266" s="25"/>
      <c r="E266" s="25"/>
      <c r="F266" s="26" t="s">
        <v>4</v>
      </c>
      <c r="G266" s="97">
        <f t="shared" si="86"/>
        <v>0</v>
      </c>
      <c r="H266" s="97"/>
      <c r="I266" s="97"/>
      <c r="J266" s="97"/>
      <c r="K266" s="98"/>
      <c r="L266" s="97">
        <f t="shared" si="88"/>
        <v>0</v>
      </c>
      <c r="M266" s="97"/>
      <c r="N266" s="98"/>
      <c r="O266" s="98"/>
      <c r="P266" s="98"/>
      <c r="Q266" s="97">
        <f t="shared" si="84"/>
        <v>0</v>
      </c>
      <c r="R266" s="98">
        <f t="shared" si="89"/>
        <v>0</v>
      </c>
      <c r="S266" s="23"/>
      <c r="T266" s="23"/>
    </row>
    <row r="267" spans="3:20" s="5" customFormat="1" ht="51.75" customHeight="1">
      <c r="C267" s="25" t="s">
        <v>277</v>
      </c>
      <c r="D267" s="25" t="s">
        <v>157</v>
      </c>
      <c r="E267" s="25" t="s">
        <v>136</v>
      </c>
      <c r="F267" s="34" t="s">
        <v>278</v>
      </c>
      <c r="G267" s="97">
        <f t="shared" si="86"/>
        <v>47000</v>
      </c>
      <c r="H267" s="97">
        <f>H268</f>
        <v>47000</v>
      </c>
      <c r="I267" s="97">
        <f>I268</f>
        <v>0</v>
      </c>
      <c r="J267" s="97">
        <f>J268</f>
        <v>0</v>
      </c>
      <c r="K267" s="97">
        <f>K268</f>
        <v>0</v>
      </c>
      <c r="L267" s="97">
        <f t="shared" si="88"/>
        <v>0</v>
      </c>
      <c r="M267" s="97">
        <f>M268</f>
        <v>0</v>
      </c>
      <c r="N267" s="97">
        <f>N268</f>
        <v>0</v>
      </c>
      <c r="O267" s="97">
        <f>O268</f>
        <v>0</v>
      </c>
      <c r="P267" s="97">
        <f>P268</f>
        <v>0</v>
      </c>
      <c r="Q267" s="97">
        <f t="shared" si="84"/>
        <v>0</v>
      </c>
      <c r="R267" s="98">
        <f t="shared" si="89"/>
        <v>47000</v>
      </c>
      <c r="S267" s="4"/>
      <c r="T267" s="4"/>
    </row>
    <row r="268" spans="3:20" s="6" customFormat="1" ht="40.5" customHeight="1">
      <c r="C268" s="10"/>
      <c r="D268" s="10"/>
      <c r="E268" s="10"/>
      <c r="F268" s="26" t="s">
        <v>547</v>
      </c>
      <c r="G268" s="97">
        <f t="shared" si="86"/>
        <v>47000</v>
      </c>
      <c r="H268" s="97">
        <v>47000</v>
      </c>
      <c r="I268" s="101"/>
      <c r="J268" s="101"/>
      <c r="K268" s="101"/>
      <c r="L268" s="97">
        <f t="shared" si="88"/>
        <v>0</v>
      </c>
      <c r="M268" s="97"/>
      <c r="N268" s="97"/>
      <c r="O268" s="97"/>
      <c r="P268" s="97"/>
      <c r="Q268" s="97">
        <f t="shared" si="84"/>
        <v>0</v>
      </c>
      <c r="R268" s="98">
        <f t="shared" si="89"/>
        <v>47000</v>
      </c>
      <c r="S268" s="9"/>
      <c r="T268" s="9"/>
    </row>
    <row r="269" spans="3:20" s="6" customFormat="1" ht="40.5" customHeight="1">
      <c r="C269" s="20" t="s">
        <v>617</v>
      </c>
      <c r="D269" s="20" t="s">
        <v>30</v>
      </c>
      <c r="E269" s="20"/>
      <c r="F269" s="22" t="s">
        <v>63</v>
      </c>
      <c r="G269" s="98">
        <f>G270</f>
        <v>0</v>
      </c>
      <c r="H269" s="98">
        <f aca="true" t="shared" si="90" ref="H269:Q269">H270</f>
        <v>0</v>
      </c>
      <c r="I269" s="98">
        <f t="shared" si="90"/>
        <v>0</v>
      </c>
      <c r="J269" s="98">
        <f t="shared" si="90"/>
        <v>0</v>
      </c>
      <c r="K269" s="98">
        <f t="shared" si="90"/>
        <v>0</v>
      </c>
      <c r="L269" s="98">
        <f t="shared" si="90"/>
        <v>77732</v>
      </c>
      <c r="M269" s="98">
        <f t="shared" si="90"/>
        <v>0</v>
      </c>
      <c r="N269" s="98">
        <f t="shared" si="90"/>
        <v>77732</v>
      </c>
      <c r="O269" s="98">
        <f t="shared" si="90"/>
        <v>0</v>
      </c>
      <c r="P269" s="98">
        <f t="shared" si="90"/>
        <v>0</v>
      </c>
      <c r="Q269" s="98">
        <f t="shared" si="90"/>
        <v>0</v>
      </c>
      <c r="R269" s="98">
        <f t="shared" si="89"/>
        <v>77732</v>
      </c>
      <c r="S269" s="9"/>
      <c r="T269" s="9"/>
    </row>
    <row r="270" spans="3:20" s="6" customFormat="1" ht="101.25" customHeight="1">
      <c r="C270" s="25" t="s">
        <v>616</v>
      </c>
      <c r="D270" s="25" t="s">
        <v>378</v>
      </c>
      <c r="E270" s="25" t="s">
        <v>124</v>
      </c>
      <c r="F270" s="34" t="s">
        <v>379</v>
      </c>
      <c r="G270" s="97">
        <f t="shared" si="86"/>
        <v>0</v>
      </c>
      <c r="H270" s="97">
        <f aca="true" t="shared" si="91" ref="H270:P270">H271</f>
        <v>0</v>
      </c>
      <c r="I270" s="97">
        <f t="shared" si="91"/>
        <v>0</v>
      </c>
      <c r="J270" s="97">
        <f t="shared" si="91"/>
        <v>0</v>
      </c>
      <c r="K270" s="97">
        <f t="shared" si="91"/>
        <v>0</v>
      </c>
      <c r="L270" s="97">
        <f t="shared" si="88"/>
        <v>77732</v>
      </c>
      <c r="M270" s="97">
        <f t="shared" si="91"/>
        <v>0</v>
      </c>
      <c r="N270" s="97">
        <f t="shared" si="91"/>
        <v>77732</v>
      </c>
      <c r="O270" s="97">
        <f t="shared" si="91"/>
        <v>0</v>
      </c>
      <c r="P270" s="97">
        <f t="shared" si="91"/>
        <v>0</v>
      </c>
      <c r="Q270" s="97">
        <f>M270</f>
        <v>0</v>
      </c>
      <c r="R270" s="98">
        <f t="shared" si="89"/>
        <v>77732</v>
      </c>
      <c r="S270" s="9"/>
      <c r="T270" s="9"/>
    </row>
    <row r="271" spans="3:20" s="6" customFormat="1" ht="40.5" customHeight="1">
      <c r="C271" s="10"/>
      <c r="D271" s="10"/>
      <c r="E271" s="10"/>
      <c r="F271" s="26" t="s">
        <v>547</v>
      </c>
      <c r="G271" s="97">
        <f t="shared" si="86"/>
        <v>0</v>
      </c>
      <c r="H271" s="97"/>
      <c r="I271" s="101"/>
      <c r="J271" s="101"/>
      <c r="K271" s="101"/>
      <c r="L271" s="97">
        <f t="shared" si="88"/>
        <v>77732</v>
      </c>
      <c r="M271" s="97"/>
      <c r="N271" s="97">
        <f>64732+13000</f>
        <v>77732</v>
      </c>
      <c r="O271" s="97"/>
      <c r="P271" s="97"/>
      <c r="Q271" s="97">
        <f>M271</f>
        <v>0</v>
      </c>
      <c r="R271" s="98">
        <f t="shared" si="89"/>
        <v>77732</v>
      </c>
      <c r="S271" s="9"/>
      <c r="T271" s="9"/>
    </row>
    <row r="272" spans="3:22" s="13" customFormat="1" ht="29.25" customHeight="1">
      <c r="C272" s="20"/>
      <c r="D272" s="20"/>
      <c r="E272" s="20"/>
      <c r="F272" s="45" t="s">
        <v>100</v>
      </c>
      <c r="G272" s="98">
        <f>G255+G258+G269</f>
        <v>8953024</v>
      </c>
      <c r="H272" s="98">
        <f aca="true" t="shared" si="92" ref="H272:R272">H255+H258+H269</f>
        <v>8953024</v>
      </c>
      <c r="I272" s="98">
        <f t="shared" si="92"/>
        <v>5134109</v>
      </c>
      <c r="J272" s="98">
        <f t="shared" si="92"/>
        <v>275457</v>
      </c>
      <c r="K272" s="98">
        <f t="shared" si="92"/>
        <v>0</v>
      </c>
      <c r="L272" s="98">
        <f t="shared" si="92"/>
        <v>213487</v>
      </c>
      <c r="M272" s="98">
        <f t="shared" si="92"/>
        <v>127465</v>
      </c>
      <c r="N272" s="98">
        <f t="shared" si="92"/>
        <v>86022</v>
      </c>
      <c r="O272" s="98">
        <f t="shared" si="92"/>
        <v>0</v>
      </c>
      <c r="P272" s="98">
        <f t="shared" si="92"/>
        <v>0</v>
      </c>
      <c r="Q272" s="98">
        <f t="shared" si="92"/>
        <v>127465</v>
      </c>
      <c r="R272" s="98">
        <f t="shared" si="92"/>
        <v>9166511</v>
      </c>
      <c r="S272" s="66"/>
      <c r="T272" s="23"/>
      <c r="U272" s="24"/>
      <c r="V272" s="24"/>
    </row>
    <row r="273" spans="3:21" s="13" customFormat="1" ht="57" customHeight="1">
      <c r="C273" s="20" t="s">
        <v>102</v>
      </c>
      <c r="D273" s="20"/>
      <c r="E273" s="20"/>
      <c r="F273" s="22" t="s">
        <v>41</v>
      </c>
      <c r="G273" s="98"/>
      <c r="H273" s="98"/>
      <c r="I273" s="98"/>
      <c r="J273" s="98"/>
      <c r="K273" s="98"/>
      <c r="L273" s="98"/>
      <c r="M273" s="98"/>
      <c r="N273" s="98"/>
      <c r="O273" s="98"/>
      <c r="P273" s="98"/>
      <c r="Q273" s="98"/>
      <c r="R273" s="98"/>
      <c r="S273" s="23"/>
      <c r="T273" s="23"/>
      <c r="U273" s="24"/>
    </row>
    <row r="274" spans="3:21" s="6" customFormat="1" ht="41.25" customHeight="1">
      <c r="C274" s="25" t="s">
        <v>103</v>
      </c>
      <c r="D274" s="21"/>
      <c r="E274" s="21"/>
      <c r="F274" s="34" t="s">
        <v>41</v>
      </c>
      <c r="G274" s="101"/>
      <c r="H274" s="101"/>
      <c r="I274" s="101"/>
      <c r="J274" s="101"/>
      <c r="K274" s="101"/>
      <c r="L274" s="101"/>
      <c r="M274" s="101"/>
      <c r="N274" s="101"/>
      <c r="O274" s="101"/>
      <c r="P274" s="101"/>
      <c r="Q274" s="101"/>
      <c r="R274" s="147"/>
      <c r="S274" s="9"/>
      <c r="T274" s="9"/>
      <c r="U274" s="40"/>
    </row>
    <row r="275" spans="3:21" s="6" customFormat="1" ht="29.25" customHeight="1">
      <c r="C275" s="20" t="s">
        <v>42</v>
      </c>
      <c r="D275" s="20" t="s">
        <v>22</v>
      </c>
      <c r="E275" s="21"/>
      <c r="F275" s="22" t="s">
        <v>23</v>
      </c>
      <c r="G275" s="98">
        <f>G276</f>
        <v>2176640</v>
      </c>
      <c r="H275" s="98">
        <f aca="true" t="shared" si="93" ref="H275:O275">H276</f>
        <v>2176640</v>
      </c>
      <c r="I275" s="98">
        <f t="shared" si="93"/>
        <v>1700628</v>
      </c>
      <c r="J275" s="98">
        <f t="shared" si="93"/>
        <v>15900</v>
      </c>
      <c r="K275" s="98">
        <f t="shared" si="93"/>
        <v>0</v>
      </c>
      <c r="L275" s="98">
        <f t="shared" si="93"/>
        <v>43000</v>
      </c>
      <c r="M275" s="98">
        <f t="shared" si="93"/>
        <v>43000</v>
      </c>
      <c r="N275" s="98">
        <f t="shared" si="93"/>
        <v>0</v>
      </c>
      <c r="O275" s="98">
        <f t="shared" si="93"/>
        <v>0</v>
      </c>
      <c r="P275" s="98">
        <f>P276</f>
        <v>0</v>
      </c>
      <c r="Q275" s="98">
        <f>Q276</f>
        <v>43000</v>
      </c>
      <c r="R275" s="98">
        <f>R276</f>
        <v>2219640</v>
      </c>
      <c r="S275" s="9"/>
      <c r="T275" s="9"/>
      <c r="U275" s="40"/>
    </row>
    <row r="276" spans="1:20" s="5" customFormat="1" ht="64.5" customHeight="1">
      <c r="A276" s="5">
        <v>7</v>
      </c>
      <c r="B276" s="5">
        <v>47</v>
      </c>
      <c r="C276" s="25" t="s">
        <v>197</v>
      </c>
      <c r="D276" s="25" t="s">
        <v>126</v>
      </c>
      <c r="E276" s="25" t="s">
        <v>123</v>
      </c>
      <c r="F276" s="34" t="s">
        <v>205</v>
      </c>
      <c r="G276" s="97">
        <f aca="true" t="shared" si="94" ref="G276:G282">H276+K276</f>
        <v>2176640</v>
      </c>
      <c r="H276" s="97">
        <f>SUM(H277:H278)</f>
        <v>2176640</v>
      </c>
      <c r="I276" s="97">
        <f aca="true" t="shared" si="95" ref="I276:Q276">SUM(I277:I278)</f>
        <v>1700628</v>
      </c>
      <c r="J276" s="97">
        <f t="shared" si="95"/>
        <v>15900</v>
      </c>
      <c r="K276" s="97">
        <f t="shared" si="95"/>
        <v>0</v>
      </c>
      <c r="L276" s="97">
        <f t="shared" si="95"/>
        <v>43000</v>
      </c>
      <c r="M276" s="97">
        <f t="shared" si="95"/>
        <v>43000</v>
      </c>
      <c r="N276" s="97">
        <f t="shared" si="95"/>
        <v>0</v>
      </c>
      <c r="O276" s="97">
        <f t="shared" si="95"/>
        <v>0</v>
      </c>
      <c r="P276" s="97">
        <f t="shared" si="95"/>
        <v>0</v>
      </c>
      <c r="Q276" s="97">
        <f t="shared" si="95"/>
        <v>43000</v>
      </c>
      <c r="R276" s="98">
        <f aca="true" t="shared" si="96" ref="R276:R282">L276+G276</f>
        <v>2219640</v>
      </c>
      <c r="S276" s="4"/>
      <c r="T276" s="4"/>
    </row>
    <row r="277" spans="3:20" s="5" customFormat="1" ht="40.5" customHeight="1">
      <c r="C277" s="25"/>
      <c r="D277" s="25"/>
      <c r="E277" s="25"/>
      <c r="F277" s="26" t="s">
        <v>602</v>
      </c>
      <c r="G277" s="97">
        <f t="shared" si="94"/>
        <v>2170530</v>
      </c>
      <c r="H277" s="97">
        <f>2040300+1280+70000+58950</f>
        <v>2170530</v>
      </c>
      <c r="I277" s="97">
        <f>1620728+41400+38500</f>
        <v>1700628</v>
      </c>
      <c r="J277" s="97">
        <f>20900-5000</f>
        <v>15900</v>
      </c>
      <c r="K277" s="97"/>
      <c r="L277" s="97">
        <f>N277+Q277</f>
        <v>43000</v>
      </c>
      <c r="M277" s="97">
        <v>43000</v>
      </c>
      <c r="N277" s="97"/>
      <c r="O277" s="97"/>
      <c r="P277" s="97"/>
      <c r="Q277" s="97">
        <f>M277</f>
        <v>43000</v>
      </c>
      <c r="R277" s="98">
        <f t="shared" si="96"/>
        <v>2213530</v>
      </c>
      <c r="S277" s="4"/>
      <c r="T277" s="4"/>
    </row>
    <row r="278" spans="3:20" s="5" customFormat="1" ht="50.25" customHeight="1">
      <c r="C278" s="25"/>
      <c r="D278" s="25"/>
      <c r="E278" s="25"/>
      <c r="F278" s="26" t="s">
        <v>597</v>
      </c>
      <c r="G278" s="97">
        <f t="shared" si="94"/>
        <v>6110</v>
      </c>
      <c r="H278" s="97">
        <f>5000+1110</f>
        <v>6110</v>
      </c>
      <c r="I278" s="97"/>
      <c r="J278" s="97"/>
      <c r="K278" s="97"/>
      <c r="L278" s="97">
        <f>N278+Q278</f>
        <v>0</v>
      </c>
      <c r="M278" s="97"/>
      <c r="N278" s="97"/>
      <c r="O278" s="97"/>
      <c r="P278" s="97"/>
      <c r="Q278" s="97">
        <f>M278</f>
        <v>0</v>
      </c>
      <c r="R278" s="98">
        <f t="shared" si="96"/>
        <v>6110</v>
      </c>
      <c r="S278" s="4"/>
      <c r="T278" s="4"/>
    </row>
    <row r="279" spans="3:20" s="13" customFormat="1" ht="24" customHeight="1">
      <c r="C279" s="20" t="s">
        <v>74</v>
      </c>
      <c r="D279" s="20" t="s">
        <v>36</v>
      </c>
      <c r="E279" s="20"/>
      <c r="F279" s="22" t="s">
        <v>300</v>
      </c>
      <c r="G279" s="98">
        <f t="shared" si="94"/>
        <v>7084700</v>
      </c>
      <c r="H279" s="98">
        <f>H280</f>
        <v>7084700</v>
      </c>
      <c r="I279" s="98">
        <f aca="true" t="shared" si="97" ref="I279:P279">I280</f>
        <v>5490900</v>
      </c>
      <c r="J279" s="98">
        <f t="shared" si="97"/>
        <v>63600</v>
      </c>
      <c r="K279" s="98">
        <f t="shared" si="97"/>
        <v>0</v>
      </c>
      <c r="L279" s="98">
        <f aca="true" t="shared" si="98" ref="L279:L285">N279+Q279</f>
        <v>410210</v>
      </c>
      <c r="M279" s="98">
        <f t="shared" si="97"/>
        <v>28700</v>
      </c>
      <c r="N279" s="98">
        <f t="shared" si="97"/>
        <v>381510</v>
      </c>
      <c r="O279" s="98">
        <f t="shared" si="97"/>
        <v>280335</v>
      </c>
      <c r="P279" s="98">
        <f t="shared" si="97"/>
        <v>0</v>
      </c>
      <c r="Q279" s="97">
        <f aca="true" t="shared" si="99" ref="Q279:Q326">M279</f>
        <v>28700</v>
      </c>
      <c r="R279" s="98">
        <f t="shared" si="96"/>
        <v>7494910</v>
      </c>
      <c r="S279" s="23"/>
      <c r="T279" s="23"/>
    </row>
    <row r="280" spans="1:20" s="5" customFormat="1" ht="43.5" customHeight="1">
      <c r="A280" s="5">
        <v>3</v>
      </c>
      <c r="B280" s="5">
        <v>50</v>
      </c>
      <c r="C280" s="25" t="s">
        <v>291</v>
      </c>
      <c r="D280" s="25" t="s">
        <v>328</v>
      </c>
      <c r="E280" s="25" t="s">
        <v>132</v>
      </c>
      <c r="F280" s="35" t="s">
        <v>584</v>
      </c>
      <c r="G280" s="97">
        <f t="shared" si="94"/>
        <v>7084700</v>
      </c>
      <c r="H280" s="97">
        <f>SUM(H281:H282)</f>
        <v>7084700</v>
      </c>
      <c r="I280" s="97">
        <f aca="true" t="shared" si="100" ref="I280:P280">SUM(I281:I282)</f>
        <v>5490900</v>
      </c>
      <c r="J280" s="97">
        <f t="shared" si="100"/>
        <v>63600</v>
      </c>
      <c r="K280" s="97">
        <f t="shared" si="100"/>
        <v>0</v>
      </c>
      <c r="L280" s="97">
        <f t="shared" si="100"/>
        <v>410210</v>
      </c>
      <c r="M280" s="97">
        <f t="shared" si="100"/>
        <v>28700</v>
      </c>
      <c r="N280" s="97">
        <f t="shared" si="100"/>
        <v>381510</v>
      </c>
      <c r="O280" s="97">
        <f t="shared" si="100"/>
        <v>280335</v>
      </c>
      <c r="P280" s="97">
        <f t="shared" si="100"/>
        <v>0</v>
      </c>
      <c r="Q280" s="97">
        <f t="shared" si="99"/>
        <v>28700</v>
      </c>
      <c r="R280" s="98">
        <f t="shared" si="96"/>
        <v>7494910</v>
      </c>
      <c r="S280" s="9"/>
      <c r="T280" s="4"/>
    </row>
    <row r="281" spans="3:20" s="5" customFormat="1" ht="29.25" customHeight="1">
      <c r="C281" s="25"/>
      <c r="D281" s="25"/>
      <c r="E281" s="25"/>
      <c r="F281" s="26" t="s">
        <v>603</v>
      </c>
      <c r="G281" s="97">
        <f t="shared" si="94"/>
        <v>7060400</v>
      </c>
      <c r="H281" s="97">
        <f>6791400+186500+170400-87900</f>
        <v>7060400</v>
      </c>
      <c r="I281" s="97">
        <f>5290900+160000+120000-80000</f>
        <v>5490900</v>
      </c>
      <c r="J281" s="97">
        <f>89100-25500</f>
        <v>63600</v>
      </c>
      <c r="K281" s="97"/>
      <c r="L281" s="97">
        <f>N281+Q281</f>
        <v>410210</v>
      </c>
      <c r="M281" s="97">
        <f>15300+13400</f>
        <v>28700</v>
      </c>
      <c r="N281" s="97">
        <v>381510</v>
      </c>
      <c r="O281" s="97">
        <v>280335</v>
      </c>
      <c r="P281" s="97"/>
      <c r="Q281" s="97">
        <f>M281</f>
        <v>28700</v>
      </c>
      <c r="R281" s="98">
        <f t="shared" si="96"/>
        <v>7470610</v>
      </c>
      <c r="S281" s="9"/>
      <c r="T281" s="4"/>
    </row>
    <row r="282" spans="3:20" s="5" customFormat="1" ht="59.25" customHeight="1">
      <c r="C282" s="25"/>
      <c r="D282" s="25"/>
      <c r="E282" s="25"/>
      <c r="F282" s="26" t="s">
        <v>597</v>
      </c>
      <c r="G282" s="97">
        <f t="shared" si="94"/>
        <v>24300</v>
      </c>
      <c r="H282" s="97">
        <f>9500+14800</f>
        <v>24300</v>
      </c>
      <c r="I282" s="97"/>
      <c r="J282" s="97"/>
      <c r="K282" s="97"/>
      <c r="L282" s="97">
        <f>N282+Q282</f>
        <v>0</v>
      </c>
      <c r="M282" s="97"/>
      <c r="N282" s="97"/>
      <c r="O282" s="97"/>
      <c r="P282" s="97"/>
      <c r="Q282" s="97">
        <f>M282</f>
        <v>0</v>
      </c>
      <c r="R282" s="98">
        <f t="shared" si="96"/>
        <v>24300</v>
      </c>
      <c r="S282" s="9"/>
      <c r="T282" s="4"/>
    </row>
    <row r="283" spans="3:20" s="6" customFormat="1" ht="40.5" customHeight="1">
      <c r="C283" s="20" t="s">
        <v>73</v>
      </c>
      <c r="D283" s="20" t="s">
        <v>302</v>
      </c>
      <c r="E283" s="20"/>
      <c r="F283" s="22" t="s">
        <v>303</v>
      </c>
      <c r="G283" s="98">
        <f aca="true" t="shared" si="101" ref="G283:G294">H283+K283</f>
        <v>124000</v>
      </c>
      <c r="H283" s="98">
        <f>H284</f>
        <v>124000</v>
      </c>
      <c r="I283" s="98">
        <f aca="true" t="shared" si="102" ref="I283:P283">I284</f>
        <v>0</v>
      </c>
      <c r="J283" s="98">
        <f t="shared" si="102"/>
        <v>0</v>
      </c>
      <c r="K283" s="98">
        <f t="shared" si="102"/>
        <v>0</v>
      </c>
      <c r="L283" s="98">
        <f t="shared" si="102"/>
        <v>0</v>
      </c>
      <c r="M283" s="98">
        <f t="shared" si="102"/>
        <v>0</v>
      </c>
      <c r="N283" s="98">
        <f t="shared" si="102"/>
        <v>0</v>
      </c>
      <c r="O283" s="98">
        <f t="shared" si="102"/>
        <v>0</v>
      </c>
      <c r="P283" s="98">
        <f t="shared" si="102"/>
        <v>0</v>
      </c>
      <c r="Q283" s="97">
        <f t="shared" si="99"/>
        <v>0</v>
      </c>
      <c r="R283" s="98">
        <f>R284</f>
        <v>124000</v>
      </c>
      <c r="S283" s="23"/>
      <c r="T283" s="23"/>
    </row>
    <row r="284" spans="3:20" s="5" customFormat="1" ht="42.75" customHeight="1">
      <c r="C284" s="25" t="s">
        <v>282</v>
      </c>
      <c r="D284" s="25" t="s">
        <v>281</v>
      </c>
      <c r="E284" s="25" t="s">
        <v>136</v>
      </c>
      <c r="F284" s="34" t="s">
        <v>279</v>
      </c>
      <c r="G284" s="97">
        <f t="shared" si="101"/>
        <v>124000</v>
      </c>
      <c r="H284" s="97">
        <f>H285</f>
        <v>124000</v>
      </c>
      <c r="I284" s="97">
        <f>I285</f>
        <v>0</v>
      </c>
      <c r="J284" s="97">
        <f>J285</f>
        <v>0</v>
      </c>
      <c r="K284" s="97">
        <f>K285</f>
        <v>0</v>
      </c>
      <c r="L284" s="97">
        <f t="shared" si="98"/>
        <v>0</v>
      </c>
      <c r="M284" s="97">
        <f>M285</f>
        <v>0</v>
      </c>
      <c r="N284" s="97">
        <f>N285</f>
        <v>0</v>
      </c>
      <c r="O284" s="97">
        <f>O285</f>
        <v>0</v>
      </c>
      <c r="P284" s="97">
        <f>P285</f>
        <v>0</v>
      </c>
      <c r="Q284" s="97">
        <f t="shared" si="99"/>
        <v>0</v>
      </c>
      <c r="R284" s="98">
        <f aca="true" t="shared" si="103" ref="R284:R316">L284+G284</f>
        <v>124000</v>
      </c>
      <c r="S284" s="4"/>
      <c r="T284" s="4"/>
    </row>
    <row r="285" spans="3:20" s="6" customFormat="1" ht="42" customHeight="1">
      <c r="C285" s="10"/>
      <c r="D285" s="10"/>
      <c r="E285" s="10"/>
      <c r="F285" s="26" t="s">
        <v>280</v>
      </c>
      <c r="G285" s="97">
        <f t="shared" si="101"/>
        <v>124000</v>
      </c>
      <c r="H285" s="97">
        <f>141000-17000</f>
        <v>124000</v>
      </c>
      <c r="I285" s="101"/>
      <c r="J285" s="101"/>
      <c r="K285" s="101"/>
      <c r="L285" s="101">
        <f t="shared" si="98"/>
        <v>0</v>
      </c>
      <c r="M285" s="101"/>
      <c r="N285" s="145"/>
      <c r="O285" s="101"/>
      <c r="P285" s="101"/>
      <c r="Q285" s="97">
        <f t="shared" si="99"/>
        <v>0</v>
      </c>
      <c r="R285" s="98">
        <f t="shared" si="103"/>
        <v>124000</v>
      </c>
      <c r="S285" s="9"/>
      <c r="T285" s="9"/>
    </row>
    <row r="286" spans="3:20" s="13" customFormat="1" ht="27" customHeight="1">
      <c r="C286" s="20" t="s">
        <v>75</v>
      </c>
      <c r="D286" s="20" t="s">
        <v>76</v>
      </c>
      <c r="E286" s="20"/>
      <c r="F286" s="33" t="s">
        <v>284</v>
      </c>
      <c r="G286" s="98">
        <f>G287+G290+G294+G297+G300</f>
        <v>5323769</v>
      </c>
      <c r="H286" s="98">
        <f>H287+H290+H294+H297+H300</f>
        <v>5323769</v>
      </c>
      <c r="I286" s="98">
        <f aca="true" t="shared" si="104" ref="I286:Q286">I287+I290+I294+I297+I300</f>
        <v>3444400</v>
      </c>
      <c r="J286" s="98">
        <f t="shared" si="104"/>
        <v>102800</v>
      </c>
      <c r="K286" s="98">
        <f t="shared" si="104"/>
        <v>0</v>
      </c>
      <c r="L286" s="98">
        <f t="shared" si="104"/>
        <v>751171</v>
      </c>
      <c r="M286" s="98">
        <f t="shared" si="104"/>
        <v>751171</v>
      </c>
      <c r="N286" s="98">
        <f t="shared" si="104"/>
        <v>0</v>
      </c>
      <c r="O286" s="98">
        <f t="shared" si="104"/>
        <v>0</v>
      </c>
      <c r="P286" s="98">
        <f t="shared" si="104"/>
        <v>0</v>
      </c>
      <c r="Q286" s="98">
        <f t="shared" si="104"/>
        <v>751171</v>
      </c>
      <c r="R286" s="98">
        <f t="shared" si="103"/>
        <v>6074940</v>
      </c>
      <c r="S286" s="23"/>
      <c r="T286" s="199"/>
    </row>
    <row r="287" spans="1:20" s="5" customFormat="1" ht="24" customHeight="1">
      <c r="A287" s="5">
        <v>1</v>
      </c>
      <c r="B287" s="5">
        <v>48</v>
      </c>
      <c r="C287" s="25" t="s">
        <v>286</v>
      </c>
      <c r="D287" s="25" t="s">
        <v>287</v>
      </c>
      <c r="E287" s="25" t="s">
        <v>165</v>
      </c>
      <c r="F287" s="35" t="s">
        <v>285</v>
      </c>
      <c r="G287" s="97">
        <f t="shared" si="101"/>
        <v>1331704</v>
      </c>
      <c r="H287" s="97">
        <f>SUM(H288:H289)</f>
        <v>1331704</v>
      </c>
      <c r="I287" s="97">
        <f aca="true" t="shared" si="105" ref="I287:P287">SUM(I288:I289)</f>
        <v>978500</v>
      </c>
      <c r="J287" s="97">
        <f t="shared" si="105"/>
        <v>21700</v>
      </c>
      <c r="K287" s="97">
        <f t="shared" si="105"/>
        <v>0</v>
      </c>
      <c r="L287" s="97">
        <f t="shared" si="105"/>
        <v>75700</v>
      </c>
      <c r="M287" s="97">
        <f t="shared" si="105"/>
        <v>75700</v>
      </c>
      <c r="N287" s="97">
        <f t="shared" si="105"/>
        <v>0</v>
      </c>
      <c r="O287" s="97">
        <f t="shared" si="105"/>
        <v>0</v>
      </c>
      <c r="P287" s="97">
        <f t="shared" si="105"/>
        <v>0</v>
      </c>
      <c r="Q287" s="97">
        <f t="shared" si="99"/>
        <v>75700</v>
      </c>
      <c r="R287" s="98">
        <f t="shared" si="103"/>
        <v>1407404</v>
      </c>
      <c r="S287" s="4"/>
      <c r="T287" s="197"/>
    </row>
    <row r="288" spans="3:20" s="5" customFormat="1" ht="38.25" customHeight="1">
      <c r="C288" s="25"/>
      <c r="D288" s="25"/>
      <c r="E288" s="25"/>
      <c r="F288" s="26" t="s">
        <v>604</v>
      </c>
      <c r="G288" s="97">
        <f>H288+K288</f>
        <v>1310100</v>
      </c>
      <c r="H288" s="97">
        <f>1255800+8000+30000+16300</f>
        <v>1310100</v>
      </c>
      <c r="I288" s="97">
        <f>931500+39000+8000</f>
        <v>978500</v>
      </c>
      <c r="J288" s="97">
        <f>25400-3700</f>
        <v>21700</v>
      </c>
      <c r="K288" s="97"/>
      <c r="L288" s="97">
        <f>N288+Q288</f>
        <v>75700</v>
      </c>
      <c r="M288" s="97">
        <f>50000+25700</f>
        <v>75700</v>
      </c>
      <c r="N288" s="97"/>
      <c r="O288" s="97"/>
      <c r="P288" s="97"/>
      <c r="Q288" s="97">
        <f>M288</f>
        <v>75700</v>
      </c>
      <c r="R288" s="98">
        <f t="shared" si="103"/>
        <v>1385800</v>
      </c>
      <c r="S288" s="4"/>
      <c r="T288" s="197"/>
    </row>
    <row r="289" spans="3:20" s="5" customFormat="1" ht="53.25" customHeight="1">
      <c r="C289" s="25"/>
      <c r="D289" s="25"/>
      <c r="E289" s="25"/>
      <c r="F289" s="26" t="s">
        <v>597</v>
      </c>
      <c r="G289" s="97">
        <f t="shared" si="101"/>
        <v>21604</v>
      </c>
      <c r="H289" s="97">
        <f>6500+15104</f>
        <v>21604</v>
      </c>
      <c r="I289" s="97"/>
      <c r="J289" s="97"/>
      <c r="K289" s="97"/>
      <c r="L289" s="97">
        <f>N289+Q289</f>
        <v>0</v>
      </c>
      <c r="M289" s="97"/>
      <c r="N289" s="97"/>
      <c r="O289" s="97"/>
      <c r="P289" s="97"/>
      <c r="Q289" s="97">
        <f>M289</f>
        <v>0</v>
      </c>
      <c r="R289" s="98">
        <f t="shared" si="103"/>
        <v>21604</v>
      </c>
      <c r="S289" s="4"/>
      <c r="T289" s="197"/>
    </row>
    <row r="290" spans="1:20" s="5" customFormat="1" ht="29.25" customHeight="1">
      <c r="A290" s="5">
        <v>2</v>
      </c>
      <c r="B290" s="5">
        <v>49</v>
      </c>
      <c r="C290" s="25" t="s">
        <v>289</v>
      </c>
      <c r="D290" s="25" t="s">
        <v>290</v>
      </c>
      <c r="E290" s="25" t="s">
        <v>165</v>
      </c>
      <c r="F290" s="34" t="s">
        <v>288</v>
      </c>
      <c r="G290" s="97">
        <f t="shared" si="101"/>
        <v>926508</v>
      </c>
      <c r="H290" s="97">
        <f>SUM(H291:H293)</f>
        <v>926508</v>
      </c>
      <c r="I290" s="97">
        <f aca="true" t="shared" si="106" ref="I290:P290">SUM(I291:I293)</f>
        <v>656900</v>
      </c>
      <c r="J290" s="97">
        <f t="shared" si="106"/>
        <v>65200</v>
      </c>
      <c r="K290" s="97">
        <f t="shared" si="106"/>
        <v>0</v>
      </c>
      <c r="L290" s="97">
        <f t="shared" si="106"/>
        <v>35000</v>
      </c>
      <c r="M290" s="97">
        <f t="shared" si="106"/>
        <v>35000</v>
      </c>
      <c r="N290" s="97">
        <f t="shared" si="106"/>
        <v>0</v>
      </c>
      <c r="O290" s="97">
        <f t="shared" si="106"/>
        <v>0</v>
      </c>
      <c r="P290" s="97">
        <f t="shared" si="106"/>
        <v>0</v>
      </c>
      <c r="Q290" s="97">
        <f t="shared" si="99"/>
        <v>35000</v>
      </c>
      <c r="R290" s="98">
        <f t="shared" si="103"/>
        <v>961508</v>
      </c>
      <c r="S290" s="4"/>
      <c r="T290" s="197"/>
    </row>
    <row r="291" spans="3:20" s="5" customFormat="1" ht="30.75" customHeight="1">
      <c r="C291" s="25"/>
      <c r="D291" s="25"/>
      <c r="E291" s="25"/>
      <c r="F291" s="26" t="s">
        <v>605</v>
      </c>
      <c r="G291" s="97">
        <f>H291+K291</f>
        <v>912200</v>
      </c>
      <c r="H291" s="97">
        <f>924200-41500+35000-5500</f>
        <v>912200</v>
      </c>
      <c r="I291" s="97">
        <f>681900-40000+15000</f>
        <v>656900</v>
      </c>
      <c r="J291" s="97">
        <v>65200</v>
      </c>
      <c r="K291" s="97"/>
      <c r="L291" s="97">
        <f>N291+Q291</f>
        <v>35000</v>
      </c>
      <c r="M291" s="97">
        <v>35000</v>
      </c>
      <c r="N291" s="97"/>
      <c r="O291" s="97"/>
      <c r="P291" s="97"/>
      <c r="Q291" s="97">
        <f>M291</f>
        <v>35000</v>
      </c>
      <c r="R291" s="98">
        <f t="shared" si="103"/>
        <v>947200</v>
      </c>
      <c r="S291" s="4"/>
      <c r="T291" s="197"/>
    </row>
    <row r="292" spans="3:20" s="5" customFormat="1" ht="39" customHeight="1">
      <c r="C292" s="25"/>
      <c r="D292" s="25"/>
      <c r="E292" s="25"/>
      <c r="F292" s="26" t="s">
        <v>482</v>
      </c>
      <c r="G292" s="97">
        <f>H292+K292</f>
        <v>2500</v>
      </c>
      <c r="H292" s="97">
        <f>2500</f>
        <v>2500</v>
      </c>
      <c r="I292" s="97"/>
      <c r="J292" s="97"/>
      <c r="K292" s="97"/>
      <c r="L292" s="97">
        <f>N292+Q292</f>
        <v>0</v>
      </c>
      <c r="M292" s="97"/>
      <c r="N292" s="97"/>
      <c r="O292" s="97"/>
      <c r="P292" s="97"/>
      <c r="Q292" s="97"/>
      <c r="R292" s="98">
        <f t="shared" si="103"/>
        <v>2500</v>
      </c>
      <c r="S292" s="4"/>
      <c r="T292" s="197"/>
    </row>
    <row r="293" spans="3:20" s="5" customFormat="1" ht="58.5" customHeight="1">
      <c r="C293" s="25"/>
      <c r="D293" s="25"/>
      <c r="E293" s="25"/>
      <c r="F293" s="26" t="s">
        <v>597</v>
      </c>
      <c r="G293" s="97">
        <f>H293+K293</f>
        <v>11808</v>
      </c>
      <c r="H293" s="97">
        <f>4800+7008</f>
        <v>11808</v>
      </c>
      <c r="I293" s="97"/>
      <c r="J293" s="97"/>
      <c r="K293" s="97"/>
      <c r="L293" s="97">
        <f>N293+Q293</f>
        <v>0</v>
      </c>
      <c r="M293" s="97"/>
      <c r="N293" s="97"/>
      <c r="O293" s="97"/>
      <c r="P293" s="97"/>
      <c r="Q293" s="97">
        <f>M293</f>
        <v>0</v>
      </c>
      <c r="R293" s="98">
        <f t="shared" si="103"/>
        <v>11808</v>
      </c>
      <c r="S293" s="4"/>
      <c r="T293" s="197"/>
    </row>
    <row r="294" spans="3:20" s="5" customFormat="1" ht="42" customHeight="1">
      <c r="C294" s="25" t="s">
        <v>283</v>
      </c>
      <c r="D294" s="25" t="s">
        <v>164</v>
      </c>
      <c r="E294" s="25" t="s">
        <v>166</v>
      </c>
      <c r="F294" s="34" t="s">
        <v>8</v>
      </c>
      <c r="G294" s="97">
        <f t="shared" si="101"/>
        <v>1313938</v>
      </c>
      <c r="H294" s="97">
        <f>SUM(H295:H296)</f>
        <v>1313938</v>
      </c>
      <c r="I294" s="97">
        <f aca="true" t="shared" si="107" ref="I294:P294">SUM(I295:I296)</f>
        <v>954900</v>
      </c>
      <c r="J294" s="97">
        <f t="shared" si="107"/>
        <v>6700</v>
      </c>
      <c r="K294" s="97">
        <f t="shared" si="107"/>
        <v>0</v>
      </c>
      <c r="L294" s="97">
        <f t="shared" si="107"/>
        <v>429500</v>
      </c>
      <c r="M294" s="97">
        <f t="shared" si="107"/>
        <v>429500</v>
      </c>
      <c r="N294" s="97">
        <f t="shared" si="107"/>
        <v>0</v>
      </c>
      <c r="O294" s="97">
        <f t="shared" si="107"/>
        <v>0</v>
      </c>
      <c r="P294" s="97">
        <f t="shared" si="107"/>
        <v>0</v>
      </c>
      <c r="Q294" s="97">
        <f t="shared" si="99"/>
        <v>429500</v>
      </c>
      <c r="R294" s="98">
        <f t="shared" si="103"/>
        <v>1743438</v>
      </c>
      <c r="S294" s="4"/>
      <c r="T294" s="197"/>
    </row>
    <row r="295" spans="3:20" s="5" customFormat="1" ht="42" customHeight="1">
      <c r="C295" s="25"/>
      <c r="D295" s="25"/>
      <c r="E295" s="25"/>
      <c r="F295" s="26" t="s">
        <v>606</v>
      </c>
      <c r="G295" s="97">
        <f aca="true" t="shared" si="108" ref="G295:G303">H295+K295</f>
        <v>1298600</v>
      </c>
      <c r="H295" s="97">
        <f>1438500-135000+32000-36900</f>
        <v>1298600</v>
      </c>
      <c r="I295" s="97">
        <f>1079900-120000+25000-30000</f>
        <v>954900</v>
      </c>
      <c r="J295" s="97">
        <f>10600-3900</f>
        <v>6700</v>
      </c>
      <c r="K295" s="97"/>
      <c r="L295" s="97">
        <f>N295+Q295</f>
        <v>429500</v>
      </c>
      <c r="M295" s="97">
        <v>429500</v>
      </c>
      <c r="N295" s="97"/>
      <c r="O295" s="97"/>
      <c r="P295" s="97"/>
      <c r="Q295" s="97">
        <f>M295</f>
        <v>429500</v>
      </c>
      <c r="R295" s="98">
        <f t="shared" si="103"/>
        <v>1728100</v>
      </c>
      <c r="S295" s="4"/>
      <c r="T295" s="197"/>
    </row>
    <row r="296" spans="3:20" s="5" customFormat="1" ht="54.75" customHeight="1">
      <c r="C296" s="25"/>
      <c r="D296" s="25"/>
      <c r="E296" s="25"/>
      <c r="F296" s="26" t="s">
        <v>597</v>
      </c>
      <c r="G296" s="97">
        <f t="shared" si="108"/>
        <v>15338</v>
      </c>
      <c r="H296" s="97">
        <f>6000+9338</f>
        <v>15338</v>
      </c>
      <c r="I296" s="97"/>
      <c r="J296" s="97"/>
      <c r="K296" s="97"/>
      <c r="L296" s="97">
        <f>N296+Q296</f>
        <v>0</v>
      </c>
      <c r="M296" s="97"/>
      <c r="N296" s="97"/>
      <c r="O296" s="97"/>
      <c r="P296" s="97"/>
      <c r="Q296" s="97">
        <f>M296</f>
        <v>0</v>
      </c>
      <c r="R296" s="98">
        <f t="shared" si="103"/>
        <v>15338</v>
      </c>
      <c r="S296" s="4"/>
      <c r="T296" s="197"/>
    </row>
    <row r="297" spans="3:20" s="5" customFormat="1" ht="42" customHeight="1">
      <c r="C297" s="18" t="s">
        <v>392</v>
      </c>
      <c r="D297" s="18" t="s">
        <v>393</v>
      </c>
      <c r="E297" s="18" t="s">
        <v>167</v>
      </c>
      <c r="F297" s="35" t="s">
        <v>394</v>
      </c>
      <c r="G297" s="97">
        <f t="shared" si="108"/>
        <v>1134290</v>
      </c>
      <c r="H297" s="97">
        <f>SUM(H298:H299)</f>
        <v>1134290</v>
      </c>
      <c r="I297" s="97">
        <f aca="true" t="shared" si="109" ref="I297:P297">SUM(I298:I299)</f>
        <v>854100</v>
      </c>
      <c r="J297" s="97">
        <f t="shared" si="109"/>
        <v>9200</v>
      </c>
      <c r="K297" s="97">
        <f t="shared" si="109"/>
        <v>0</v>
      </c>
      <c r="L297" s="97">
        <f t="shared" si="109"/>
        <v>15500</v>
      </c>
      <c r="M297" s="97">
        <f t="shared" si="109"/>
        <v>15500</v>
      </c>
      <c r="N297" s="97">
        <f t="shared" si="109"/>
        <v>0</v>
      </c>
      <c r="O297" s="97">
        <f t="shared" si="109"/>
        <v>0</v>
      </c>
      <c r="P297" s="97">
        <f t="shared" si="109"/>
        <v>0</v>
      </c>
      <c r="Q297" s="97">
        <f t="shared" si="99"/>
        <v>15500</v>
      </c>
      <c r="R297" s="98">
        <f t="shared" si="103"/>
        <v>1149790</v>
      </c>
      <c r="S297" s="4"/>
      <c r="T297" s="197"/>
    </row>
    <row r="298" spans="3:20" s="5" customFormat="1" ht="30" customHeight="1">
      <c r="C298" s="18"/>
      <c r="D298" s="18"/>
      <c r="E298" s="18"/>
      <c r="F298" s="26" t="s">
        <v>607</v>
      </c>
      <c r="G298" s="97">
        <f t="shared" si="108"/>
        <v>1128600</v>
      </c>
      <c r="H298" s="97">
        <f>972300+117800+18500+20000</f>
        <v>1128600</v>
      </c>
      <c r="I298" s="97">
        <f>746100+90000+15000+3000</f>
        <v>854100</v>
      </c>
      <c r="J298" s="97">
        <v>9200</v>
      </c>
      <c r="K298" s="97"/>
      <c r="L298" s="97">
        <f>N298+Q298</f>
        <v>15500</v>
      </c>
      <c r="M298" s="97">
        <v>15500</v>
      </c>
      <c r="N298" s="97"/>
      <c r="O298" s="97"/>
      <c r="P298" s="97"/>
      <c r="Q298" s="97">
        <f>M298</f>
        <v>15500</v>
      </c>
      <c r="R298" s="98">
        <f t="shared" si="103"/>
        <v>1144100</v>
      </c>
      <c r="S298" s="4"/>
      <c r="T298" s="197"/>
    </row>
    <row r="299" spans="3:20" s="5" customFormat="1" ht="51" customHeight="1">
      <c r="C299" s="18"/>
      <c r="D299" s="18"/>
      <c r="E299" s="18"/>
      <c r="F299" s="26" t="s">
        <v>597</v>
      </c>
      <c r="G299" s="97">
        <f t="shared" si="108"/>
        <v>5690</v>
      </c>
      <c r="H299" s="97">
        <f>4000+1690</f>
        <v>5690</v>
      </c>
      <c r="I299" s="97"/>
      <c r="J299" s="97"/>
      <c r="K299" s="97"/>
      <c r="L299" s="97">
        <f>N299+Q299</f>
        <v>0</v>
      </c>
      <c r="M299" s="97"/>
      <c r="N299" s="97"/>
      <c r="O299" s="97"/>
      <c r="P299" s="97"/>
      <c r="Q299" s="97">
        <f>M299</f>
        <v>0</v>
      </c>
      <c r="R299" s="98">
        <f t="shared" si="103"/>
        <v>5690</v>
      </c>
      <c r="S299" s="4"/>
      <c r="T299" s="197"/>
    </row>
    <row r="300" spans="3:20" s="5" customFormat="1" ht="26.25" customHeight="1">
      <c r="C300" s="18" t="s">
        <v>396</v>
      </c>
      <c r="D300" s="18" t="s">
        <v>397</v>
      </c>
      <c r="E300" s="18" t="s">
        <v>167</v>
      </c>
      <c r="F300" s="35" t="s">
        <v>395</v>
      </c>
      <c r="G300" s="97">
        <f t="shared" si="108"/>
        <v>617329</v>
      </c>
      <c r="H300" s="97">
        <f>SUM(H301:H302)</f>
        <v>617329</v>
      </c>
      <c r="I300" s="97">
        <f aca="true" t="shared" si="110" ref="I300:P300">SUM(I301:I302)</f>
        <v>0</v>
      </c>
      <c r="J300" s="97">
        <f t="shared" si="110"/>
        <v>0</v>
      </c>
      <c r="K300" s="97">
        <f t="shared" si="110"/>
        <v>0</v>
      </c>
      <c r="L300" s="97">
        <f t="shared" si="110"/>
        <v>195471</v>
      </c>
      <c r="M300" s="97">
        <f>SUM(M301:M302)</f>
        <v>195471</v>
      </c>
      <c r="N300" s="97">
        <f>SUM(N301:N302)</f>
        <v>0</v>
      </c>
      <c r="O300" s="97">
        <f t="shared" si="110"/>
        <v>0</v>
      </c>
      <c r="P300" s="97">
        <f t="shared" si="110"/>
        <v>0</v>
      </c>
      <c r="Q300" s="97">
        <f t="shared" si="99"/>
        <v>195471</v>
      </c>
      <c r="R300" s="98">
        <f t="shared" si="103"/>
        <v>812800</v>
      </c>
      <c r="S300" s="4"/>
      <c r="T300" s="197"/>
    </row>
    <row r="301" spans="3:21" s="6" customFormat="1" ht="47.25" customHeight="1">
      <c r="C301" s="43"/>
      <c r="D301" s="43"/>
      <c r="E301" s="43"/>
      <c r="F301" s="26" t="s">
        <v>548</v>
      </c>
      <c r="G301" s="97">
        <f t="shared" si="108"/>
        <v>555754</v>
      </c>
      <c r="H301" s="97">
        <f>2080000-150000-1206000-168246</f>
        <v>555754</v>
      </c>
      <c r="I301" s="101"/>
      <c r="J301" s="101"/>
      <c r="K301" s="101"/>
      <c r="L301" s="97">
        <f aca="true" t="shared" si="111" ref="L301:L313">N301+Q301</f>
        <v>168246</v>
      </c>
      <c r="M301" s="97">
        <f>168246</f>
        <v>168246</v>
      </c>
      <c r="N301" s="101"/>
      <c r="O301" s="101"/>
      <c r="P301" s="101"/>
      <c r="Q301" s="97">
        <f t="shared" si="99"/>
        <v>168246</v>
      </c>
      <c r="R301" s="98">
        <f t="shared" si="103"/>
        <v>724000</v>
      </c>
      <c r="S301" s="4"/>
      <c r="T301" s="198"/>
      <c r="U301" s="40"/>
    </row>
    <row r="302" spans="3:20" s="6" customFormat="1" ht="45" customHeight="1">
      <c r="C302" s="43"/>
      <c r="D302" s="43"/>
      <c r="E302" s="43"/>
      <c r="F302" s="26" t="s">
        <v>482</v>
      </c>
      <c r="G302" s="97">
        <f t="shared" si="108"/>
        <v>61575</v>
      </c>
      <c r="H302" s="97">
        <f>10000+15000+48800-12225</f>
        <v>61575</v>
      </c>
      <c r="I302" s="101"/>
      <c r="J302" s="101"/>
      <c r="K302" s="101"/>
      <c r="L302" s="97">
        <f t="shared" si="111"/>
        <v>27225</v>
      </c>
      <c r="M302" s="97">
        <f>15000+12225</f>
        <v>27225</v>
      </c>
      <c r="N302" s="101"/>
      <c r="O302" s="101"/>
      <c r="P302" s="101"/>
      <c r="Q302" s="97">
        <f t="shared" si="99"/>
        <v>27225</v>
      </c>
      <c r="R302" s="98">
        <f t="shared" si="103"/>
        <v>88800</v>
      </c>
      <c r="S302" s="9"/>
      <c r="T302" s="198"/>
    </row>
    <row r="303" spans="3:20" s="13" customFormat="1" ht="36.75" customHeight="1">
      <c r="C303" s="20" t="s">
        <v>77</v>
      </c>
      <c r="D303" s="20" t="s">
        <v>78</v>
      </c>
      <c r="E303" s="20"/>
      <c r="F303" s="22" t="s">
        <v>105</v>
      </c>
      <c r="G303" s="98">
        <f t="shared" si="108"/>
        <v>5320870</v>
      </c>
      <c r="H303" s="98">
        <f>H304+H308+H311+H315</f>
        <v>5320870</v>
      </c>
      <c r="I303" s="98">
        <f aca="true" t="shared" si="112" ref="I303:P303">I304+I308+I311+I315</f>
        <v>3327300</v>
      </c>
      <c r="J303" s="98">
        <f t="shared" si="112"/>
        <v>58100</v>
      </c>
      <c r="K303" s="98">
        <f t="shared" si="112"/>
        <v>0</v>
      </c>
      <c r="L303" s="98">
        <f t="shared" si="112"/>
        <v>10169</v>
      </c>
      <c r="M303" s="98">
        <f>M304+M308+M311+M315</f>
        <v>10169</v>
      </c>
      <c r="N303" s="98">
        <f t="shared" si="112"/>
        <v>0</v>
      </c>
      <c r="O303" s="98">
        <f t="shared" si="112"/>
        <v>0</v>
      </c>
      <c r="P303" s="98">
        <f t="shared" si="112"/>
        <v>0</v>
      </c>
      <c r="Q303" s="97">
        <f t="shared" si="99"/>
        <v>10169</v>
      </c>
      <c r="R303" s="98">
        <f t="shared" si="103"/>
        <v>5331039</v>
      </c>
      <c r="S303" s="23"/>
      <c r="T303" s="23"/>
    </row>
    <row r="304" spans="3:21" s="5" customFormat="1" ht="42" customHeight="1">
      <c r="C304" s="25" t="s">
        <v>293</v>
      </c>
      <c r="D304" s="25" t="s">
        <v>168</v>
      </c>
      <c r="E304" s="25" t="s">
        <v>169</v>
      </c>
      <c r="F304" s="34" t="s">
        <v>292</v>
      </c>
      <c r="G304" s="97">
        <f>SUM(G305:G307)</f>
        <v>559580</v>
      </c>
      <c r="H304" s="97">
        <f>SUM(H305:H307)</f>
        <v>559580</v>
      </c>
      <c r="I304" s="97">
        <f>SUM(I305:I307)</f>
        <v>0</v>
      </c>
      <c r="J304" s="97">
        <f>SUM(J305:J307)</f>
        <v>0</v>
      </c>
      <c r="K304" s="97">
        <f>SUM(K305:K307)</f>
        <v>0</v>
      </c>
      <c r="L304" s="97">
        <f>N304+Q304</f>
        <v>0</v>
      </c>
      <c r="M304" s="97">
        <f>SUM(M305:M307)</f>
        <v>0</v>
      </c>
      <c r="N304" s="97">
        <f>SUM(N305:N307)</f>
        <v>0</v>
      </c>
      <c r="O304" s="97">
        <f>SUM(O305:O307)</f>
        <v>0</v>
      </c>
      <c r="P304" s="97">
        <f>SUM(P305:P307)</f>
        <v>0</v>
      </c>
      <c r="Q304" s="97">
        <f t="shared" si="99"/>
        <v>0</v>
      </c>
      <c r="R304" s="98">
        <f t="shared" si="103"/>
        <v>559580</v>
      </c>
      <c r="S304" s="4"/>
      <c r="T304" s="4"/>
      <c r="U304" s="12"/>
    </row>
    <row r="305" spans="3:20" s="6" customFormat="1" ht="38.25" customHeight="1">
      <c r="C305" s="10"/>
      <c r="D305" s="10"/>
      <c r="E305" s="10"/>
      <c r="F305" s="26" t="s">
        <v>549</v>
      </c>
      <c r="G305" s="97">
        <f aca="true" t="shared" si="113" ref="G305:G310">H305+K305</f>
        <v>469610</v>
      </c>
      <c r="H305" s="97">
        <f>627110-157500</f>
        <v>469610</v>
      </c>
      <c r="I305" s="101"/>
      <c r="J305" s="101"/>
      <c r="K305" s="101"/>
      <c r="L305" s="101">
        <f t="shared" si="111"/>
        <v>0</v>
      </c>
      <c r="M305" s="101"/>
      <c r="N305" s="145"/>
      <c r="O305" s="101"/>
      <c r="P305" s="101"/>
      <c r="Q305" s="97">
        <f t="shared" si="99"/>
        <v>0</v>
      </c>
      <c r="R305" s="98">
        <f t="shared" si="103"/>
        <v>469610</v>
      </c>
      <c r="S305" s="9"/>
      <c r="T305" s="9"/>
    </row>
    <row r="306" spans="3:20" s="6" customFormat="1" ht="47.25" customHeight="1">
      <c r="C306" s="10"/>
      <c r="D306" s="10"/>
      <c r="E306" s="10"/>
      <c r="F306" s="26" t="s">
        <v>447</v>
      </c>
      <c r="G306" s="97">
        <f t="shared" si="113"/>
        <v>89970</v>
      </c>
      <c r="H306" s="97">
        <f>39970+40000+10000</f>
        <v>89970</v>
      </c>
      <c r="I306" s="101"/>
      <c r="J306" s="101"/>
      <c r="K306" s="101"/>
      <c r="L306" s="101">
        <f t="shared" si="111"/>
        <v>0</v>
      </c>
      <c r="M306" s="101"/>
      <c r="N306" s="145"/>
      <c r="O306" s="101"/>
      <c r="P306" s="101"/>
      <c r="Q306" s="97">
        <f t="shared" si="99"/>
        <v>0</v>
      </c>
      <c r="R306" s="98">
        <f t="shared" si="103"/>
        <v>89970</v>
      </c>
      <c r="S306" s="9"/>
      <c r="T306" s="9"/>
    </row>
    <row r="307" spans="3:20" s="6" customFormat="1" ht="42.75" customHeight="1" hidden="1">
      <c r="C307" s="10"/>
      <c r="D307" s="10"/>
      <c r="E307" s="10"/>
      <c r="F307" s="26" t="s">
        <v>99</v>
      </c>
      <c r="G307" s="101">
        <f t="shared" si="113"/>
        <v>0</v>
      </c>
      <c r="H307" s="101"/>
      <c r="I307" s="101" t="s">
        <v>98</v>
      </c>
      <c r="J307" s="101"/>
      <c r="K307" s="101"/>
      <c r="L307" s="101">
        <f t="shared" si="111"/>
        <v>0</v>
      </c>
      <c r="M307" s="101"/>
      <c r="N307" s="145"/>
      <c r="O307" s="101"/>
      <c r="P307" s="101"/>
      <c r="Q307" s="97">
        <f t="shared" si="99"/>
        <v>0</v>
      </c>
      <c r="R307" s="98">
        <f t="shared" si="103"/>
        <v>0</v>
      </c>
      <c r="S307" s="9"/>
      <c r="T307" s="9"/>
    </row>
    <row r="308" spans="3:20" s="5" customFormat="1" ht="49.5" customHeight="1">
      <c r="C308" s="25" t="s">
        <v>295</v>
      </c>
      <c r="D308" s="25" t="s">
        <v>170</v>
      </c>
      <c r="E308" s="25" t="s">
        <v>169</v>
      </c>
      <c r="F308" s="34" t="s">
        <v>294</v>
      </c>
      <c r="G308" s="97">
        <f t="shared" si="113"/>
        <v>312220</v>
      </c>
      <c r="H308" s="97">
        <f>SUM(H309:H310)</f>
        <v>312220</v>
      </c>
      <c r="I308" s="97">
        <f>SUM(I309:I310)</f>
        <v>0</v>
      </c>
      <c r="J308" s="97">
        <f>SUM(J309:J310)</f>
        <v>0</v>
      </c>
      <c r="K308" s="97"/>
      <c r="L308" s="97">
        <f t="shared" si="111"/>
        <v>0</v>
      </c>
      <c r="M308" s="97">
        <f>SUM(M309:M310)</f>
        <v>0</v>
      </c>
      <c r="N308" s="97">
        <f>SUM(N309:N310)</f>
        <v>0</v>
      </c>
      <c r="O308" s="97">
        <f>SUM(O309:O310)</f>
        <v>0</v>
      </c>
      <c r="P308" s="97">
        <f>SUM(P309:P310)</f>
        <v>0</v>
      </c>
      <c r="Q308" s="97">
        <f t="shared" si="99"/>
        <v>0</v>
      </c>
      <c r="R308" s="98">
        <f t="shared" si="103"/>
        <v>312220</v>
      </c>
      <c r="S308" s="4"/>
      <c r="T308" s="4"/>
    </row>
    <row r="309" spans="3:20" s="6" customFormat="1" ht="46.5" customHeight="1">
      <c r="C309" s="10"/>
      <c r="D309" s="10"/>
      <c r="E309" s="10"/>
      <c r="F309" s="26" t="s">
        <v>550</v>
      </c>
      <c r="G309" s="97">
        <f t="shared" si="113"/>
        <v>297220</v>
      </c>
      <c r="H309" s="97">
        <f>322720-25500</f>
        <v>297220</v>
      </c>
      <c r="I309" s="101"/>
      <c r="J309" s="101"/>
      <c r="K309" s="101"/>
      <c r="L309" s="97">
        <f t="shared" si="111"/>
        <v>0</v>
      </c>
      <c r="M309" s="101"/>
      <c r="N309" s="145"/>
      <c r="O309" s="101"/>
      <c r="P309" s="101"/>
      <c r="Q309" s="97">
        <f t="shared" si="99"/>
        <v>0</v>
      </c>
      <c r="R309" s="98">
        <f t="shared" si="103"/>
        <v>297220</v>
      </c>
      <c r="S309" s="9"/>
      <c r="T309" s="9"/>
    </row>
    <row r="310" spans="3:20" s="6" customFormat="1" ht="45" customHeight="1">
      <c r="C310" s="10"/>
      <c r="D310" s="10"/>
      <c r="E310" s="10"/>
      <c r="F310" s="26" t="s">
        <v>447</v>
      </c>
      <c r="G310" s="97">
        <f t="shared" si="113"/>
        <v>15000</v>
      </c>
      <c r="H310" s="97">
        <v>15000</v>
      </c>
      <c r="I310" s="101"/>
      <c r="J310" s="101"/>
      <c r="K310" s="101"/>
      <c r="L310" s="97">
        <f t="shared" si="111"/>
        <v>0</v>
      </c>
      <c r="M310" s="101"/>
      <c r="N310" s="145"/>
      <c r="O310" s="101"/>
      <c r="P310" s="101"/>
      <c r="Q310" s="97">
        <f t="shared" si="99"/>
        <v>0</v>
      </c>
      <c r="R310" s="98">
        <f t="shared" si="103"/>
        <v>15000</v>
      </c>
      <c r="S310" s="9"/>
      <c r="T310" s="9"/>
    </row>
    <row r="311" spans="3:20" s="6" customFormat="1" ht="45.75" customHeight="1">
      <c r="C311" s="25" t="s">
        <v>297</v>
      </c>
      <c r="D311" s="25" t="s">
        <v>177</v>
      </c>
      <c r="E311" s="25" t="s">
        <v>169</v>
      </c>
      <c r="F311" s="35" t="s">
        <v>296</v>
      </c>
      <c r="G311" s="97">
        <f>H311+K311</f>
        <v>4398900</v>
      </c>
      <c r="H311" s="97">
        <f>SUM(H312:H314)</f>
        <v>4398900</v>
      </c>
      <c r="I311" s="97">
        <f>SUM(I312:I314)</f>
        <v>3327300</v>
      </c>
      <c r="J311" s="97">
        <f>SUM(J312:J314)</f>
        <v>58100</v>
      </c>
      <c r="K311" s="101"/>
      <c r="L311" s="97">
        <f t="shared" si="111"/>
        <v>10169</v>
      </c>
      <c r="M311" s="101">
        <f>M312+M313</f>
        <v>10169</v>
      </c>
      <c r="N311" s="101">
        <f>N312+N313</f>
        <v>0</v>
      </c>
      <c r="O311" s="101">
        <f>O312+O313</f>
        <v>0</v>
      </c>
      <c r="P311" s="101">
        <f>P312+P313</f>
        <v>0</v>
      </c>
      <c r="Q311" s="97">
        <f t="shared" si="99"/>
        <v>10169</v>
      </c>
      <c r="R311" s="98">
        <f t="shared" si="103"/>
        <v>4409069</v>
      </c>
      <c r="S311" s="9"/>
      <c r="T311" s="198"/>
    </row>
    <row r="312" spans="3:20" s="6" customFormat="1" ht="45.75" customHeight="1">
      <c r="C312" s="25"/>
      <c r="D312" s="25"/>
      <c r="E312" s="25"/>
      <c r="F312" s="36" t="s">
        <v>568</v>
      </c>
      <c r="G312" s="97">
        <f>H312+K312</f>
        <v>4381700</v>
      </c>
      <c r="H312" s="97">
        <f>5193200-97631-313500-400369</f>
        <v>4381700</v>
      </c>
      <c r="I312" s="97">
        <f>3973700-90000-246400-310000</f>
        <v>3327300</v>
      </c>
      <c r="J312" s="97">
        <f>91300+5800-39000</f>
        <v>58100</v>
      </c>
      <c r="K312" s="101"/>
      <c r="L312" s="97">
        <f t="shared" si="111"/>
        <v>10169</v>
      </c>
      <c r="M312" s="97">
        <v>10169</v>
      </c>
      <c r="N312" s="101"/>
      <c r="O312" s="101"/>
      <c r="P312" s="101"/>
      <c r="Q312" s="97">
        <f t="shared" si="99"/>
        <v>10169</v>
      </c>
      <c r="R312" s="98">
        <f t="shared" si="103"/>
        <v>4391869</v>
      </c>
      <c r="S312" s="9"/>
      <c r="T312" s="198"/>
    </row>
    <row r="313" spans="3:20" s="6" customFormat="1" ht="51.75" customHeight="1">
      <c r="C313" s="25"/>
      <c r="D313" s="25"/>
      <c r="E313" s="25"/>
      <c r="F313" s="36" t="s">
        <v>597</v>
      </c>
      <c r="G313" s="97">
        <f>H313+K313</f>
        <v>17200</v>
      </c>
      <c r="H313" s="97">
        <f>8500+8700</f>
        <v>17200</v>
      </c>
      <c r="I313" s="97"/>
      <c r="J313" s="97"/>
      <c r="K313" s="101"/>
      <c r="L313" s="97">
        <f t="shared" si="111"/>
        <v>0</v>
      </c>
      <c r="M313" s="97"/>
      <c r="N313" s="101"/>
      <c r="O313" s="101"/>
      <c r="P313" s="101"/>
      <c r="Q313" s="97">
        <f>M313</f>
        <v>0</v>
      </c>
      <c r="R313" s="98">
        <f t="shared" si="103"/>
        <v>17200</v>
      </c>
      <c r="S313" s="9"/>
      <c r="T313" s="198"/>
    </row>
    <row r="314" spans="3:20" s="6" customFormat="1" ht="37.5" customHeight="1" hidden="1">
      <c r="C314" s="25"/>
      <c r="D314" s="25"/>
      <c r="E314" s="25"/>
      <c r="F314" s="26" t="s">
        <v>483</v>
      </c>
      <c r="G314" s="97">
        <f>H314+K314</f>
        <v>0</v>
      </c>
      <c r="H314" s="97"/>
      <c r="I314" s="97"/>
      <c r="J314" s="97"/>
      <c r="K314" s="101"/>
      <c r="L314" s="97">
        <f aca="true" t="shared" si="114" ref="L314:L326">N314+Q314</f>
        <v>0</v>
      </c>
      <c r="M314" s="97"/>
      <c r="N314" s="101"/>
      <c r="O314" s="101"/>
      <c r="P314" s="101"/>
      <c r="Q314" s="97">
        <f t="shared" si="99"/>
        <v>0</v>
      </c>
      <c r="R314" s="98">
        <f t="shared" si="103"/>
        <v>0</v>
      </c>
      <c r="S314" s="9"/>
      <c r="T314" s="198"/>
    </row>
    <row r="315" spans="3:20" s="5" customFormat="1" ht="61.5" customHeight="1">
      <c r="C315" s="25" t="s">
        <v>299</v>
      </c>
      <c r="D315" s="25" t="s">
        <v>175</v>
      </c>
      <c r="E315" s="25" t="s">
        <v>169</v>
      </c>
      <c r="F315" s="34" t="s">
        <v>298</v>
      </c>
      <c r="G315" s="97">
        <f aca="true" t="shared" si="115" ref="G315:G325">H315+K315</f>
        <v>50170</v>
      </c>
      <c r="H315" s="97">
        <f>H316+H317</f>
        <v>50170</v>
      </c>
      <c r="I315" s="97">
        <f>I316+I317</f>
        <v>0</v>
      </c>
      <c r="J315" s="97">
        <f>J316+J317</f>
        <v>0</v>
      </c>
      <c r="K315" s="97"/>
      <c r="L315" s="97">
        <f t="shared" si="114"/>
        <v>0</v>
      </c>
      <c r="M315" s="97">
        <f>M316+M317</f>
        <v>0</v>
      </c>
      <c r="N315" s="97">
        <f>N316+N317</f>
        <v>0</v>
      </c>
      <c r="O315" s="97">
        <f>O316+O317</f>
        <v>0</v>
      </c>
      <c r="P315" s="97">
        <f>P316+P317</f>
        <v>0</v>
      </c>
      <c r="Q315" s="97">
        <f t="shared" si="99"/>
        <v>0</v>
      </c>
      <c r="R315" s="98">
        <f t="shared" si="103"/>
        <v>50170</v>
      </c>
      <c r="S315" s="4"/>
      <c r="T315" s="4"/>
    </row>
    <row r="316" spans="3:20" s="6" customFormat="1" ht="42.75" customHeight="1">
      <c r="C316" s="10"/>
      <c r="D316" s="10"/>
      <c r="E316" s="10"/>
      <c r="F316" s="26" t="s">
        <v>549</v>
      </c>
      <c r="G316" s="97">
        <f t="shared" si="115"/>
        <v>50170</v>
      </c>
      <c r="H316" s="97">
        <v>50170</v>
      </c>
      <c r="I316" s="101"/>
      <c r="J316" s="101"/>
      <c r="K316" s="101"/>
      <c r="L316" s="97">
        <f t="shared" si="114"/>
        <v>0</v>
      </c>
      <c r="M316" s="101"/>
      <c r="N316" s="145"/>
      <c r="O316" s="101"/>
      <c r="P316" s="101"/>
      <c r="Q316" s="97">
        <f t="shared" si="99"/>
        <v>0</v>
      </c>
      <c r="R316" s="98">
        <f t="shared" si="103"/>
        <v>50170</v>
      </c>
      <c r="S316" s="9"/>
      <c r="T316" s="9"/>
    </row>
    <row r="317" spans="3:20" s="6" customFormat="1" ht="38.25" customHeight="1" hidden="1">
      <c r="C317" s="10"/>
      <c r="D317" s="10"/>
      <c r="E317" s="10"/>
      <c r="F317" s="26" t="s">
        <v>482</v>
      </c>
      <c r="G317" s="97">
        <f t="shared" si="115"/>
        <v>0</v>
      </c>
      <c r="H317" s="101"/>
      <c r="I317" s="101"/>
      <c r="J317" s="101"/>
      <c r="K317" s="101"/>
      <c r="L317" s="97">
        <f t="shared" si="114"/>
        <v>0</v>
      </c>
      <c r="M317" s="101"/>
      <c r="N317" s="145"/>
      <c r="O317" s="101"/>
      <c r="P317" s="101"/>
      <c r="Q317" s="97">
        <f>M317</f>
        <v>0</v>
      </c>
      <c r="R317" s="98">
        <f aca="true" t="shared" si="116" ref="R317:R326">L317+G317</f>
        <v>0</v>
      </c>
      <c r="S317" s="9"/>
      <c r="T317" s="9"/>
    </row>
    <row r="318" spans="3:20" s="6" customFormat="1" ht="38.25" customHeight="1" hidden="1">
      <c r="C318" s="20" t="s">
        <v>625</v>
      </c>
      <c r="D318" s="20" t="s">
        <v>325</v>
      </c>
      <c r="E318" s="21"/>
      <c r="F318" s="22" t="s">
        <v>326</v>
      </c>
      <c r="G318" s="98">
        <f t="shared" si="115"/>
        <v>0</v>
      </c>
      <c r="H318" s="98">
        <f>H319</f>
        <v>0</v>
      </c>
      <c r="I318" s="147"/>
      <c r="J318" s="147"/>
      <c r="K318" s="147"/>
      <c r="L318" s="98">
        <f t="shared" si="114"/>
        <v>0</v>
      </c>
      <c r="M318" s="147"/>
      <c r="N318" s="156"/>
      <c r="O318" s="147"/>
      <c r="P318" s="147"/>
      <c r="Q318" s="98">
        <f>M318</f>
        <v>0</v>
      </c>
      <c r="R318" s="98">
        <f t="shared" si="116"/>
        <v>0</v>
      </c>
      <c r="S318" s="9"/>
      <c r="T318" s="9"/>
    </row>
    <row r="319" spans="3:20" s="6" customFormat="1" ht="38.25" customHeight="1" hidden="1">
      <c r="C319" s="25" t="s">
        <v>623</v>
      </c>
      <c r="D319" s="25" t="s">
        <v>159</v>
      </c>
      <c r="E319" s="25" t="s">
        <v>160</v>
      </c>
      <c r="F319" s="34" t="s">
        <v>310</v>
      </c>
      <c r="G319" s="97">
        <f t="shared" si="115"/>
        <v>0</v>
      </c>
      <c r="H319" s="97">
        <f>H320</f>
        <v>0</v>
      </c>
      <c r="I319" s="101"/>
      <c r="J319" s="101"/>
      <c r="K319" s="101"/>
      <c r="L319" s="97">
        <f t="shared" si="114"/>
        <v>0</v>
      </c>
      <c r="M319" s="101"/>
      <c r="N319" s="145"/>
      <c r="O319" s="101"/>
      <c r="P319" s="101"/>
      <c r="Q319" s="97">
        <f>M319</f>
        <v>0</v>
      </c>
      <c r="R319" s="98">
        <f t="shared" si="116"/>
        <v>0</v>
      </c>
      <c r="S319" s="9"/>
      <c r="T319" s="9"/>
    </row>
    <row r="320" spans="3:20" s="6" customFormat="1" ht="38.25" customHeight="1" hidden="1">
      <c r="C320" s="10"/>
      <c r="D320" s="10"/>
      <c r="E320" s="10"/>
      <c r="F320" s="26" t="s">
        <v>624</v>
      </c>
      <c r="G320" s="97">
        <f t="shared" si="115"/>
        <v>0</v>
      </c>
      <c r="H320" s="97">
        <f>100000-100000</f>
        <v>0</v>
      </c>
      <c r="I320" s="101"/>
      <c r="J320" s="101"/>
      <c r="K320" s="101"/>
      <c r="L320" s="97">
        <f t="shared" si="114"/>
        <v>0</v>
      </c>
      <c r="M320" s="101"/>
      <c r="N320" s="145"/>
      <c r="O320" s="101"/>
      <c r="P320" s="101"/>
      <c r="Q320" s="97">
        <f>M320</f>
        <v>0</v>
      </c>
      <c r="R320" s="98">
        <f t="shared" si="116"/>
        <v>0</v>
      </c>
      <c r="S320" s="9"/>
      <c r="T320" s="9"/>
    </row>
    <row r="321" spans="3:20" s="6" customFormat="1" ht="38.25" customHeight="1">
      <c r="C321" s="20" t="s">
        <v>64</v>
      </c>
      <c r="D321" s="20" t="s">
        <v>30</v>
      </c>
      <c r="E321" s="20"/>
      <c r="F321" s="33" t="s">
        <v>63</v>
      </c>
      <c r="G321" s="98">
        <f t="shared" si="115"/>
        <v>212000</v>
      </c>
      <c r="H321" s="98">
        <f>H322</f>
        <v>212000</v>
      </c>
      <c r="I321" s="147"/>
      <c r="J321" s="147"/>
      <c r="K321" s="147"/>
      <c r="L321" s="98">
        <f t="shared" si="114"/>
        <v>0</v>
      </c>
      <c r="M321" s="147"/>
      <c r="N321" s="156"/>
      <c r="O321" s="147"/>
      <c r="P321" s="147"/>
      <c r="Q321" s="98">
        <f>M321</f>
        <v>0</v>
      </c>
      <c r="R321" s="98">
        <f t="shared" si="116"/>
        <v>212000</v>
      </c>
      <c r="S321" s="9"/>
      <c r="T321" s="9"/>
    </row>
    <row r="322" spans="3:20" s="6" customFormat="1" ht="38.25" customHeight="1">
      <c r="C322" s="25" t="s">
        <v>523</v>
      </c>
      <c r="D322" s="25" t="s">
        <v>524</v>
      </c>
      <c r="E322" s="25" t="s">
        <v>525</v>
      </c>
      <c r="F322" s="34" t="s">
        <v>526</v>
      </c>
      <c r="G322" s="97">
        <f>H322+K322</f>
        <v>212000</v>
      </c>
      <c r="H322" s="97">
        <f>H323+H324</f>
        <v>212000</v>
      </c>
      <c r="I322" s="97">
        <f aca="true" t="shared" si="117" ref="I322:P322">I323</f>
        <v>0</v>
      </c>
      <c r="J322" s="97">
        <f t="shared" si="117"/>
        <v>0</v>
      </c>
      <c r="K322" s="97">
        <f t="shared" si="117"/>
        <v>0</v>
      </c>
      <c r="L322" s="97">
        <f t="shared" si="114"/>
        <v>497000</v>
      </c>
      <c r="M322" s="97">
        <f t="shared" si="117"/>
        <v>497000</v>
      </c>
      <c r="N322" s="97">
        <f t="shared" si="117"/>
        <v>0</v>
      </c>
      <c r="O322" s="97">
        <f t="shared" si="117"/>
        <v>0</v>
      </c>
      <c r="P322" s="97">
        <f t="shared" si="117"/>
        <v>0</v>
      </c>
      <c r="Q322" s="97">
        <f t="shared" si="99"/>
        <v>497000</v>
      </c>
      <c r="R322" s="98">
        <f t="shared" si="116"/>
        <v>709000</v>
      </c>
      <c r="S322" s="9"/>
      <c r="T322" s="9"/>
    </row>
    <row r="323" spans="3:20" s="6" customFormat="1" ht="38.25" customHeight="1">
      <c r="C323" s="10"/>
      <c r="D323" s="10"/>
      <c r="E323" s="10"/>
      <c r="F323" s="26" t="s">
        <v>549</v>
      </c>
      <c r="G323" s="97">
        <f>H323+K323</f>
        <v>153000</v>
      </c>
      <c r="H323" s="97">
        <f>500000-327000-20000</f>
        <v>153000</v>
      </c>
      <c r="I323" s="101"/>
      <c r="J323" s="101"/>
      <c r="K323" s="101"/>
      <c r="L323" s="97">
        <f t="shared" si="114"/>
        <v>497000</v>
      </c>
      <c r="M323" s="97">
        <f>327000+170000</f>
        <v>497000</v>
      </c>
      <c r="N323" s="145"/>
      <c r="O323" s="101"/>
      <c r="P323" s="101"/>
      <c r="Q323" s="97">
        <f t="shared" si="99"/>
        <v>497000</v>
      </c>
      <c r="R323" s="98">
        <f t="shared" si="116"/>
        <v>650000</v>
      </c>
      <c r="S323" s="9"/>
      <c r="T323" s="9"/>
    </row>
    <row r="324" spans="3:20" s="6" customFormat="1" ht="38.25" customHeight="1">
      <c r="C324" s="10"/>
      <c r="D324" s="10"/>
      <c r="E324" s="10"/>
      <c r="F324" s="26" t="s">
        <v>482</v>
      </c>
      <c r="G324" s="97">
        <f>H324+K324</f>
        <v>59000</v>
      </c>
      <c r="H324" s="97">
        <f>59000</f>
        <v>59000</v>
      </c>
      <c r="I324" s="101"/>
      <c r="J324" s="101"/>
      <c r="K324" s="101"/>
      <c r="L324" s="97">
        <f t="shared" si="114"/>
        <v>0</v>
      </c>
      <c r="M324" s="101"/>
      <c r="N324" s="145"/>
      <c r="O324" s="101"/>
      <c r="P324" s="101"/>
      <c r="Q324" s="97">
        <f t="shared" si="99"/>
        <v>0</v>
      </c>
      <c r="R324" s="98">
        <f t="shared" si="116"/>
        <v>59000</v>
      </c>
      <c r="S324" s="9"/>
      <c r="T324" s="9"/>
    </row>
    <row r="325" spans="3:20" s="5" customFormat="1" ht="98.25" customHeight="1" hidden="1">
      <c r="C325" s="18" t="s">
        <v>448</v>
      </c>
      <c r="D325" s="18" t="s">
        <v>378</v>
      </c>
      <c r="E325" s="18" t="s">
        <v>124</v>
      </c>
      <c r="F325" s="35" t="s">
        <v>379</v>
      </c>
      <c r="G325" s="97">
        <f t="shared" si="115"/>
        <v>0</v>
      </c>
      <c r="H325" s="97"/>
      <c r="I325" s="97"/>
      <c r="J325" s="97"/>
      <c r="K325" s="97"/>
      <c r="L325" s="97">
        <f t="shared" si="114"/>
        <v>0</v>
      </c>
      <c r="M325" s="97">
        <f>M326</f>
        <v>0</v>
      </c>
      <c r="N325" s="97">
        <f>N326</f>
        <v>0</v>
      </c>
      <c r="O325" s="97">
        <f>O326</f>
        <v>0</v>
      </c>
      <c r="P325" s="97">
        <f>P326</f>
        <v>0</v>
      </c>
      <c r="Q325" s="97">
        <f t="shared" si="99"/>
        <v>0</v>
      </c>
      <c r="R325" s="98">
        <f t="shared" si="116"/>
        <v>0</v>
      </c>
      <c r="S325" s="4"/>
      <c r="T325" s="4"/>
    </row>
    <row r="326" spans="3:20" s="5" customFormat="1" ht="42.75" customHeight="1" hidden="1">
      <c r="C326" s="18"/>
      <c r="D326" s="18"/>
      <c r="E326" s="18"/>
      <c r="F326" s="35" t="s">
        <v>549</v>
      </c>
      <c r="G326" s="97"/>
      <c r="H326" s="97"/>
      <c r="I326" s="97"/>
      <c r="J326" s="97"/>
      <c r="K326" s="97"/>
      <c r="L326" s="97">
        <f t="shared" si="114"/>
        <v>0</v>
      </c>
      <c r="M326" s="97"/>
      <c r="N326" s="97"/>
      <c r="O326" s="97"/>
      <c r="P326" s="97"/>
      <c r="Q326" s="97">
        <f t="shared" si="99"/>
        <v>0</v>
      </c>
      <c r="R326" s="98">
        <f t="shared" si="116"/>
        <v>0</v>
      </c>
      <c r="S326" s="4"/>
      <c r="T326" s="4"/>
    </row>
    <row r="327" spans="3:22" s="13" customFormat="1" ht="27.75" customHeight="1">
      <c r="C327" s="20"/>
      <c r="D327" s="20"/>
      <c r="E327" s="20"/>
      <c r="F327" s="33" t="s">
        <v>100</v>
      </c>
      <c r="G327" s="98">
        <f>G276+G279+G283+G286+G303+G325+G322+G318</f>
        <v>20241979</v>
      </c>
      <c r="H327" s="98">
        <f>H276+H279+H283+H286+H303+H325+H322+H318</f>
        <v>20241979</v>
      </c>
      <c r="I327" s="98">
        <f aca="true" t="shared" si="118" ref="I327:Q327">I276+I279+I283+I286+I303+I325+I322+I318</f>
        <v>13963228</v>
      </c>
      <c r="J327" s="98">
        <f t="shared" si="118"/>
        <v>240400</v>
      </c>
      <c r="K327" s="98">
        <f t="shared" si="118"/>
        <v>0</v>
      </c>
      <c r="L327" s="98">
        <f t="shared" si="118"/>
        <v>1711550</v>
      </c>
      <c r="M327" s="98">
        <f t="shared" si="118"/>
        <v>1330040</v>
      </c>
      <c r="N327" s="98">
        <f t="shared" si="118"/>
        <v>381510</v>
      </c>
      <c r="O327" s="98">
        <f t="shared" si="118"/>
        <v>280335</v>
      </c>
      <c r="P327" s="98">
        <f t="shared" si="118"/>
        <v>0</v>
      </c>
      <c r="Q327" s="98">
        <f t="shared" si="118"/>
        <v>1330040</v>
      </c>
      <c r="R327" s="98">
        <f>R276+R279+R283+R286+R303+R325+R322+R318</f>
        <v>21953529</v>
      </c>
      <c r="S327" s="66"/>
      <c r="T327" s="23"/>
      <c r="U327" s="24"/>
      <c r="V327" s="24"/>
    </row>
    <row r="328" spans="3:21" s="5" customFormat="1" ht="58.5" customHeight="1">
      <c r="C328" s="20" t="s">
        <v>401</v>
      </c>
      <c r="D328" s="25"/>
      <c r="E328" s="25"/>
      <c r="F328" s="22" t="s">
        <v>43</v>
      </c>
      <c r="G328" s="97"/>
      <c r="H328" s="97"/>
      <c r="I328" s="97"/>
      <c r="J328" s="97"/>
      <c r="K328" s="97"/>
      <c r="L328" s="101"/>
      <c r="M328" s="101"/>
      <c r="N328" s="97"/>
      <c r="O328" s="97"/>
      <c r="P328" s="97"/>
      <c r="Q328" s="97"/>
      <c r="R328" s="98"/>
      <c r="S328" s="4"/>
      <c r="T328" s="4"/>
      <c r="U328" s="12"/>
    </row>
    <row r="329" spans="3:21" s="6" customFormat="1" ht="43.5" customHeight="1">
      <c r="C329" s="25" t="s">
        <v>400</v>
      </c>
      <c r="D329" s="10"/>
      <c r="E329" s="10"/>
      <c r="F329" s="34" t="s">
        <v>43</v>
      </c>
      <c r="G329" s="101"/>
      <c r="H329" s="101"/>
      <c r="I329" s="101"/>
      <c r="J329" s="101"/>
      <c r="K329" s="101"/>
      <c r="L329" s="101"/>
      <c r="M329" s="101"/>
      <c r="N329" s="101"/>
      <c r="O329" s="101"/>
      <c r="P329" s="101"/>
      <c r="Q329" s="101"/>
      <c r="R329" s="147"/>
      <c r="S329" s="9"/>
      <c r="T329" s="9"/>
      <c r="U329" s="40"/>
    </row>
    <row r="330" spans="3:21" s="6" customFormat="1" ht="33.75" customHeight="1">
      <c r="C330" s="20" t="s">
        <v>44</v>
      </c>
      <c r="D330" s="20" t="s">
        <v>22</v>
      </c>
      <c r="E330" s="20"/>
      <c r="F330" s="22" t="s">
        <v>23</v>
      </c>
      <c r="G330" s="98">
        <f>G331</f>
        <v>6289548</v>
      </c>
      <c r="H330" s="98">
        <f aca="true" t="shared" si="119" ref="H330:R330">H331</f>
        <v>6289548</v>
      </c>
      <c r="I330" s="98">
        <f t="shared" si="119"/>
        <v>4699805</v>
      </c>
      <c r="J330" s="98">
        <f t="shared" si="119"/>
        <v>77500</v>
      </c>
      <c r="K330" s="98">
        <f t="shared" si="119"/>
        <v>0</v>
      </c>
      <c r="L330" s="98">
        <f t="shared" si="119"/>
        <v>20000</v>
      </c>
      <c r="M330" s="98">
        <f t="shared" si="119"/>
        <v>20000</v>
      </c>
      <c r="N330" s="98">
        <f t="shared" si="119"/>
        <v>0</v>
      </c>
      <c r="O330" s="98">
        <f t="shared" si="119"/>
        <v>0</v>
      </c>
      <c r="P330" s="98">
        <f t="shared" si="119"/>
        <v>0</v>
      </c>
      <c r="Q330" s="98">
        <f t="shared" si="119"/>
        <v>20000</v>
      </c>
      <c r="R330" s="98">
        <f t="shared" si="119"/>
        <v>6309548</v>
      </c>
      <c r="S330" s="9"/>
      <c r="T330" s="9"/>
      <c r="U330" s="40"/>
    </row>
    <row r="331" spans="1:20" s="5" customFormat="1" ht="42.75" customHeight="1">
      <c r="A331" s="5">
        <v>5</v>
      </c>
      <c r="B331" s="5">
        <v>36</v>
      </c>
      <c r="C331" s="25" t="s">
        <v>399</v>
      </c>
      <c r="D331" s="25" t="s">
        <v>126</v>
      </c>
      <c r="E331" s="25" t="s">
        <v>123</v>
      </c>
      <c r="F331" s="34" t="s">
        <v>208</v>
      </c>
      <c r="G331" s="97">
        <f aca="true" t="shared" si="120" ref="G331:G344">H331+K331</f>
        <v>6289548</v>
      </c>
      <c r="H331" s="97">
        <f>SUM(H332:H333)</f>
        <v>6289548</v>
      </c>
      <c r="I331" s="97">
        <f aca="true" t="shared" si="121" ref="I331:P331">SUM(I332:I333)</f>
        <v>4699805</v>
      </c>
      <c r="J331" s="97">
        <f t="shared" si="121"/>
        <v>77500</v>
      </c>
      <c r="K331" s="97">
        <f t="shared" si="121"/>
        <v>0</v>
      </c>
      <c r="L331" s="97">
        <f t="shared" si="121"/>
        <v>20000</v>
      </c>
      <c r="M331" s="97">
        <f t="shared" si="121"/>
        <v>20000</v>
      </c>
      <c r="N331" s="97">
        <f t="shared" si="121"/>
        <v>0</v>
      </c>
      <c r="O331" s="97">
        <f t="shared" si="121"/>
        <v>0</v>
      </c>
      <c r="P331" s="97">
        <f t="shared" si="121"/>
        <v>0</v>
      </c>
      <c r="Q331" s="97">
        <f aca="true" t="shared" si="122" ref="Q331:Q399">M331</f>
        <v>20000</v>
      </c>
      <c r="R331" s="98">
        <f aca="true" t="shared" si="123" ref="R331:R363">L331+G331</f>
        <v>6309548</v>
      </c>
      <c r="S331" s="4"/>
      <c r="T331" s="4"/>
    </row>
    <row r="332" spans="3:20" s="5" customFormat="1" ht="42.75" customHeight="1">
      <c r="C332" s="25"/>
      <c r="D332" s="25"/>
      <c r="E332" s="25"/>
      <c r="F332" s="26" t="s">
        <v>608</v>
      </c>
      <c r="G332" s="97">
        <f>H332+K332</f>
        <v>6244698</v>
      </c>
      <c r="H332" s="97">
        <f>5884200+191948+7000+161550</f>
        <v>6244698</v>
      </c>
      <c r="I332" s="97">
        <f>4567805+132000</f>
        <v>4699805</v>
      </c>
      <c r="J332" s="97">
        <v>77500</v>
      </c>
      <c r="K332" s="97"/>
      <c r="L332" s="97">
        <f>N332+Q332</f>
        <v>20000</v>
      </c>
      <c r="M332" s="97">
        <v>20000</v>
      </c>
      <c r="N332" s="97"/>
      <c r="O332" s="97"/>
      <c r="P332" s="97"/>
      <c r="Q332" s="97">
        <f>M332</f>
        <v>20000</v>
      </c>
      <c r="R332" s="98">
        <f t="shared" si="123"/>
        <v>6264698</v>
      </c>
      <c r="S332" s="4"/>
      <c r="T332" s="4"/>
    </row>
    <row r="333" spans="3:20" s="5" customFormat="1" ht="56.25" customHeight="1">
      <c r="C333" s="25"/>
      <c r="D333" s="25"/>
      <c r="E333" s="25"/>
      <c r="F333" s="26" t="s">
        <v>18</v>
      </c>
      <c r="G333" s="97">
        <f>H333+K333</f>
        <v>44850</v>
      </c>
      <c r="H333" s="97">
        <f>45400-550</f>
        <v>44850</v>
      </c>
      <c r="I333" s="97"/>
      <c r="J333" s="97"/>
      <c r="K333" s="97"/>
      <c r="L333" s="97">
        <f>N333+Q333</f>
        <v>0</v>
      </c>
      <c r="M333" s="97"/>
      <c r="N333" s="97"/>
      <c r="O333" s="97"/>
      <c r="P333" s="97"/>
      <c r="Q333" s="97">
        <f>M333</f>
        <v>0</v>
      </c>
      <c r="R333" s="98">
        <f t="shared" si="123"/>
        <v>44850</v>
      </c>
      <c r="S333" s="4"/>
      <c r="T333" s="4"/>
    </row>
    <row r="334" spans="3:21" s="13" customFormat="1" ht="35.25" customHeight="1" hidden="1">
      <c r="C334" s="20" t="s">
        <v>79</v>
      </c>
      <c r="D334" s="20" t="s">
        <v>36</v>
      </c>
      <c r="E334" s="20"/>
      <c r="F334" s="22" t="s">
        <v>300</v>
      </c>
      <c r="G334" s="98">
        <f>H334+K334</f>
        <v>0</v>
      </c>
      <c r="H334" s="98">
        <f>H335+H338</f>
        <v>0</v>
      </c>
      <c r="I334" s="98">
        <f aca="true" t="shared" si="124" ref="I334:P334">I335+I338</f>
        <v>0</v>
      </c>
      <c r="J334" s="98">
        <f t="shared" si="124"/>
        <v>0</v>
      </c>
      <c r="K334" s="98">
        <f t="shared" si="124"/>
        <v>0</v>
      </c>
      <c r="L334" s="98">
        <f aca="true" t="shared" si="125" ref="L334:L343">N334+Q334</f>
        <v>0</v>
      </c>
      <c r="M334" s="98">
        <f>M335+M338</f>
        <v>0</v>
      </c>
      <c r="N334" s="98">
        <f t="shared" si="124"/>
        <v>0</v>
      </c>
      <c r="O334" s="98">
        <f t="shared" si="124"/>
        <v>0</v>
      </c>
      <c r="P334" s="98">
        <f t="shared" si="124"/>
        <v>0</v>
      </c>
      <c r="Q334" s="97">
        <f t="shared" si="122"/>
        <v>0</v>
      </c>
      <c r="R334" s="98">
        <f t="shared" si="123"/>
        <v>0</v>
      </c>
      <c r="S334" s="23"/>
      <c r="T334" s="23"/>
      <c r="U334" s="24"/>
    </row>
    <row r="335" spans="3:20" s="5" customFormat="1" ht="33" customHeight="1" hidden="1">
      <c r="C335" s="25" t="s">
        <v>459</v>
      </c>
      <c r="D335" s="25" t="s">
        <v>127</v>
      </c>
      <c r="E335" s="25" t="s">
        <v>128</v>
      </c>
      <c r="F335" s="34" t="s">
        <v>460</v>
      </c>
      <c r="G335" s="97">
        <f t="shared" si="120"/>
        <v>0</v>
      </c>
      <c r="H335" s="97">
        <f>H336</f>
        <v>0</v>
      </c>
      <c r="I335" s="97">
        <f>I336</f>
        <v>0</v>
      </c>
      <c r="J335" s="97">
        <f>J336</f>
        <v>0</v>
      </c>
      <c r="K335" s="97">
        <f>K336</f>
        <v>0</v>
      </c>
      <c r="L335" s="97">
        <f t="shared" si="125"/>
        <v>0</v>
      </c>
      <c r="M335" s="97">
        <f>M336+M337</f>
        <v>0</v>
      </c>
      <c r="N335" s="97">
        <f>N336</f>
        <v>0</v>
      </c>
      <c r="O335" s="97">
        <f>O336</f>
        <v>0</v>
      </c>
      <c r="P335" s="97">
        <f>P336</f>
        <v>0</v>
      </c>
      <c r="Q335" s="97">
        <f t="shared" si="122"/>
        <v>0</v>
      </c>
      <c r="R335" s="98">
        <f t="shared" si="123"/>
        <v>0</v>
      </c>
      <c r="S335" s="4"/>
      <c r="T335" s="4"/>
    </row>
    <row r="336" spans="3:20" s="6" customFormat="1" ht="61.5" customHeight="1" hidden="1">
      <c r="C336" s="25"/>
      <c r="D336" s="25"/>
      <c r="E336" s="25"/>
      <c r="F336" s="26" t="s">
        <v>461</v>
      </c>
      <c r="G336" s="101">
        <f t="shared" si="120"/>
        <v>0</v>
      </c>
      <c r="H336" s="193"/>
      <c r="I336" s="193"/>
      <c r="J336" s="193"/>
      <c r="K336" s="193"/>
      <c r="L336" s="97">
        <f t="shared" si="125"/>
        <v>0</v>
      </c>
      <c r="M336" s="97"/>
      <c r="N336" s="97"/>
      <c r="O336" s="97"/>
      <c r="P336" s="97"/>
      <c r="Q336" s="97">
        <f t="shared" si="122"/>
        <v>0</v>
      </c>
      <c r="R336" s="98">
        <f t="shared" si="123"/>
        <v>0</v>
      </c>
      <c r="S336" s="194"/>
      <c r="T336" s="9"/>
    </row>
    <row r="337" spans="3:20" s="6" customFormat="1" ht="127.5" customHeight="1" hidden="1">
      <c r="C337" s="25"/>
      <c r="D337" s="25"/>
      <c r="E337" s="25"/>
      <c r="F337" s="26" t="s">
        <v>5</v>
      </c>
      <c r="G337" s="101">
        <f t="shared" si="120"/>
        <v>0</v>
      </c>
      <c r="H337" s="193"/>
      <c r="I337" s="193"/>
      <c r="J337" s="193"/>
      <c r="K337" s="193"/>
      <c r="L337" s="97">
        <f t="shared" si="125"/>
        <v>0</v>
      </c>
      <c r="M337" s="97"/>
      <c r="N337" s="97"/>
      <c r="O337" s="97"/>
      <c r="P337" s="97"/>
      <c r="Q337" s="97">
        <f t="shared" si="122"/>
        <v>0</v>
      </c>
      <c r="R337" s="98">
        <f t="shared" si="123"/>
        <v>0</v>
      </c>
      <c r="S337" s="194"/>
      <c r="T337" s="9"/>
    </row>
    <row r="338" spans="3:20" s="6" customFormat="1" ht="51" customHeight="1" hidden="1">
      <c r="C338" s="25" t="s">
        <v>462</v>
      </c>
      <c r="D338" s="25" t="s">
        <v>129</v>
      </c>
      <c r="E338" s="25" t="s">
        <v>130</v>
      </c>
      <c r="F338" s="35" t="s">
        <v>93</v>
      </c>
      <c r="G338" s="97">
        <f t="shared" si="120"/>
        <v>0</v>
      </c>
      <c r="H338" s="193">
        <f>H339</f>
        <v>0</v>
      </c>
      <c r="I338" s="193">
        <f aca="true" t="shared" si="126" ref="I338:P338">I339</f>
        <v>0</v>
      </c>
      <c r="J338" s="193">
        <f t="shared" si="126"/>
        <v>0</v>
      </c>
      <c r="K338" s="193">
        <f t="shared" si="126"/>
        <v>0</v>
      </c>
      <c r="L338" s="97">
        <f t="shared" si="125"/>
        <v>0</v>
      </c>
      <c r="M338" s="97">
        <f>M339</f>
        <v>0</v>
      </c>
      <c r="N338" s="193">
        <f t="shared" si="126"/>
        <v>0</v>
      </c>
      <c r="O338" s="193">
        <f t="shared" si="126"/>
        <v>0</v>
      </c>
      <c r="P338" s="193">
        <f t="shared" si="126"/>
        <v>0</v>
      </c>
      <c r="Q338" s="97">
        <f t="shared" si="122"/>
        <v>0</v>
      </c>
      <c r="R338" s="98">
        <f t="shared" si="123"/>
        <v>0</v>
      </c>
      <c r="S338" s="195"/>
      <c r="T338" s="9"/>
    </row>
    <row r="339" spans="3:20" s="6" customFormat="1" ht="56.25" customHeight="1" hidden="1">
      <c r="C339" s="10"/>
      <c r="D339" s="10"/>
      <c r="E339" s="10"/>
      <c r="F339" s="26" t="s">
        <v>461</v>
      </c>
      <c r="G339" s="97">
        <f t="shared" si="120"/>
        <v>0</v>
      </c>
      <c r="H339" s="193"/>
      <c r="I339" s="193"/>
      <c r="J339" s="193"/>
      <c r="K339" s="193"/>
      <c r="L339" s="97">
        <f t="shared" si="125"/>
        <v>0</v>
      </c>
      <c r="M339" s="97"/>
      <c r="N339" s="97"/>
      <c r="O339" s="97"/>
      <c r="P339" s="97"/>
      <c r="Q339" s="97">
        <f t="shared" si="122"/>
        <v>0</v>
      </c>
      <c r="R339" s="98">
        <f t="shared" si="123"/>
        <v>0</v>
      </c>
      <c r="S339" s="194"/>
      <c r="T339" s="9"/>
    </row>
    <row r="340" spans="3:20" s="6" customFormat="1" ht="42.75" customHeight="1" hidden="1">
      <c r="C340" s="20" t="s">
        <v>80</v>
      </c>
      <c r="D340" s="20" t="s">
        <v>71</v>
      </c>
      <c r="E340" s="10"/>
      <c r="F340" s="186" t="s">
        <v>539</v>
      </c>
      <c r="G340" s="98">
        <f>G341</f>
        <v>0</v>
      </c>
      <c r="H340" s="98">
        <f aca="true" t="shared" si="127" ref="H340:P340">H341</f>
        <v>0</v>
      </c>
      <c r="I340" s="98">
        <f t="shared" si="127"/>
        <v>0</v>
      </c>
      <c r="J340" s="98">
        <f t="shared" si="127"/>
        <v>0</v>
      </c>
      <c r="K340" s="98">
        <f t="shared" si="127"/>
        <v>0</v>
      </c>
      <c r="L340" s="98">
        <f t="shared" si="127"/>
        <v>0</v>
      </c>
      <c r="M340" s="98">
        <f>M341</f>
        <v>0</v>
      </c>
      <c r="N340" s="98">
        <f t="shared" si="127"/>
        <v>0</v>
      </c>
      <c r="O340" s="98">
        <f t="shared" si="127"/>
        <v>0</v>
      </c>
      <c r="P340" s="98">
        <f t="shared" si="127"/>
        <v>0</v>
      </c>
      <c r="Q340" s="97">
        <f t="shared" si="122"/>
        <v>0</v>
      </c>
      <c r="R340" s="98">
        <f t="shared" si="123"/>
        <v>0</v>
      </c>
      <c r="S340" s="194"/>
      <c r="T340" s="9"/>
    </row>
    <row r="341" spans="3:20" s="6" customFormat="1" ht="35.25" customHeight="1" hidden="1">
      <c r="C341" s="25" t="s">
        <v>540</v>
      </c>
      <c r="D341" s="25" t="s">
        <v>191</v>
      </c>
      <c r="E341" s="25" t="s">
        <v>192</v>
      </c>
      <c r="F341" s="34" t="s">
        <v>541</v>
      </c>
      <c r="G341" s="97">
        <f t="shared" si="120"/>
        <v>0</v>
      </c>
      <c r="H341" s="193">
        <f>H342</f>
        <v>0</v>
      </c>
      <c r="I341" s="193">
        <f aca="true" t="shared" si="128" ref="I341:P341">I342</f>
        <v>0</v>
      </c>
      <c r="J341" s="193">
        <f t="shared" si="128"/>
        <v>0</v>
      </c>
      <c r="K341" s="193">
        <f t="shared" si="128"/>
        <v>0</v>
      </c>
      <c r="L341" s="97">
        <f t="shared" si="125"/>
        <v>0</v>
      </c>
      <c r="M341" s="149">
        <f t="shared" si="128"/>
        <v>0</v>
      </c>
      <c r="N341" s="149">
        <f t="shared" si="128"/>
        <v>0</v>
      </c>
      <c r="O341" s="149">
        <f t="shared" si="128"/>
        <v>0</v>
      </c>
      <c r="P341" s="149">
        <f t="shared" si="128"/>
        <v>0</v>
      </c>
      <c r="Q341" s="97">
        <f t="shared" si="122"/>
        <v>0</v>
      </c>
      <c r="R341" s="98">
        <f t="shared" si="123"/>
        <v>0</v>
      </c>
      <c r="S341" s="194"/>
      <c r="T341" s="9"/>
    </row>
    <row r="342" spans="3:20" s="6" customFormat="1" ht="56.25" customHeight="1" hidden="1">
      <c r="C342" s="10"/>
      <c r="D342" s="10"/>
      <c r="E342" s="10"/>
      <c r="F342" s="26" t="s">
        <v>158</v>
      </c>
      <c r="G342" s="97">
        <f t="shared" si="120"/>
        <v>0</v>
      </c>
      <c r="H342" s="193"/>
      <c r="I342" s="193"/>
      <c r="J342" s="193"/>
      <c r="K342" s="193"/>
      <c r="L342" s="97">
        <f t="shared" si="125"/>
        <v>0</v>
      </c>
      <c r="M342" s="97"/>
      <c r="N342" s="149"/>
      <c r="O342" s="149"/>
      <c r="P342" s="149"/>
      <c r="Q342" s="97">
        <f t="shared" si="122"/>
        <v>0</v>
      </c>
      <c r="R342" s="98">
        <f t="shared" si="123"/>
        <v>0</v>
      </c>
      <c r="S342" s="194"/>
      <c r="T342" s="9"/>
    </row>
    <row r="343" spans="3:20" s="29" customFormat="1" ht="42" customHeight="1">
      <c r="C343" s="20" t="s">
        <v>81</v>
      </c>
      <c r="D343" s="20" t="s">
        <v>325</v>
      </c>
      <c r="E343" s="21"/>
      <c r="F343" s="22" t="s">
        <v>326</v>
      </c>
      <c r="G343" s="98">
        <f>H343+K343</f>
        <v>34746062.55</v>
      </c>
      <c r="H343" s="98">
        <f>H344+H350+H355+H363+H365+H368+H370+H371+H381+H383</f>
        <v>34746062.55</v>
      </c>
      <c r="I343" s="98">
        <f>I344+I350+I355+I363+I365+I368+I370+I371+I381+I383</f>
        <v>0</v>
      </c>
      <c r="J343" s="98">
        <f>J344+J350+J355+J363+J365+J368+J370+J371+J381+J383</f>
        <v>0</v>
      </c>
      <c r="K343" s="98">
        <f>K344+K350+K355+K363+K365+K368+K370+K371+K381+K383</f>
        <v>0</v>
      </c>
      <c r="L343" s="98">
        <f t="shared" si="125"/>
        <v>1703428</v>
      </c>
      <c r="M343" s="98">
        <f>M344+M350+M355+M363+M365+M368+M370+M371+M381+M383</f>
        <v>1703428</v>
      </c>
      <c r="N343" s="98">
        <f>N344+N350+N355+N363+N365+N368+N370+N371+N381+N383</f>
        <v>0</v>
      </c>
      <c r="O343" s="98">
        <f>O344+O350+O355+O363+O365+O368+O370+O371+O381+O383</f>
        <v>0</v>
      </c>
      <c r="P343" s="98">
        <f>P344+P350+P355+P363+P365+P368+P370+P371+P381+P383</f>
        <v>0</v>
      </c>
      <c r="Q343" s="97">
        <f t="shared" si="122"/>
        <v>1703428</v>
      </c>
      <c r="R343" s="98">
        <f t="shared" si="123"/>
        <v>36449490.55</v>
      </c>
      <c r="S343" s="23"/>
      <c r="T343" s="23"/>
    </row>
    <row r="344" spans="3:21" s="5" customFormat="1" ht="32.25" customHeight="1">
      <c r="C344" s="25" t="s">
        <v>449</v>
      </c>
      <c r="D344" s="25" t="s">
        <v>305</v>
      </c>
      <c r="E344" s="25" t="s">
        <v>554</v>
      </c>
      <c r="F344" s="37" t="s">
        <v>311</v>
      </c>
      <c r="G344" s="97">
        <f t="shared" si="120"/>
        <v>3812010.55</v>
      </c>
      <c r="H344" s="97">
        <f>SUM(H345:H349)</f>
        <v>3812010.55</v>
      </c>
      <c r="I344" s="97">
        <f aca="true" t="shared" si="129" ref="I344:P344">SUM(I345:I349)</f>
        <v>0</v>
      </c>
      <c r="J344" s="97">
        <f t="shared" si="129"/>
        <v>0</v>
      </c>
      <c r="K344" s="97">
        <f t="shared" si="129"/>
        <v>0</v>
      </c>
      <c r="L344" s="97">
        <f>SUM(L345:L349)</f>
        <v>0</v>
      </c>
      <c r="M344" s="97">
        <f>SUM(M345:M349)</f>
        <v>0</v>
      </c>
      <c r="N344" s="97">
        <f t="shared" si="129"/>
        <v>0</v>
      </c>
      <c r="O344" s="97">
        <f t="shared" si="129"/>
        <v>0</v>
      </c>
      <c r="P344" s="97">
        <f t="shared" si="129"/>
        <v>0</v>
      </c>
      <c r="Q344" s="97">
        <f t="shared" si="122"/>
        <v>0</v>
      </c>
      <c r="R344" s="98">
        <f t="shared" si="123"/>
        <v>3812010.55</v>
      </c>
      <c r="S344" s="4"/>
      <c r="T344" s="4"/>
      <c r="U344" s="12"/>
    </row>
    <row r="345" spans="3:21" s="6" customFormat="1" ht="53.25" customHeight="1">
      <c r="C345" s="10"/>
      <c r="D345" s="10"/>
      <c r="E345" s="10"/>
      <c r="F345" s="38" t="s">
        <v>119</v>
      </c>
      <c r="G345" s="97">
        <f>H345+K345</f>
        <v>3191027</v>
      </c>
      <c r="H345" s="97">
        <f>3000000+217859-26832</f>
        <v>3191027</v>
      </c>
      <c r="I345" s="101"/>
      <c r="J345" s="101"/>
      <c r="K345" s="101"/>
      <c r="L345" s="97">
        <f>N345+Q345</f>
        <v>0</v>
      </c>
      <c r="M345" s="97"/>
      <c r="N345" s="97"/>
      <c r="O345" s="97"/>
      <c r="P345" s="97"/>
      <c r="Q345" s="97">
        <f t="shared" si="122"/>
        <v>0</v>
      </c>
      <c r="R345" s="98">
        <f t="shared" si="123"/>
        <v>3191027</v>
      </c>
      <c r="S345" s="9"/>
      <c r="T345" s="9"/>
      <c r="U345" s="40"/>
    </row>
    <row r="346" spans="3:21" s="6" customFormat="1" ht="35.25" customHeight="1" hidden="1">
      <c r="C346" s="10"/>
      <c r="D346" s="10"/>
      <c r="E346" s="10"/>
      <c r="F346" s="38" t="s">
        <v>542</v>
      </c>
      <c r="G346" s="101">
        <f>H346+K346</f>
        <v>0</v>
      </c>
      <c r="H346" s="101"/>
      <c r="I346" s="101"/>
      <c r="J346" s="101"/>
      <c r="K346" s="101"/>
      <c r="L346" s="97">
        <f>N346+Q346</f>
        <v>0</v>
      </c>
      <c r="M346" s="97"/>
      <c r="N346" s="97"/>
      <c r="O346" s="97"/>
      <c r="P346" s="97"/>
      <c r="Q346" s="97">
        <f t="shared" si="122"/>
        <v>0</v>
      </c>
      <c r="R346" s="98">
        <f t="shared" si="123"/>
        <v>0</v>
      </c>
      <c r="S346" s="9"/>
      <c r="T346" s="9"/>
      <c r="U346" s="40"/>
    </row>
    <row r="347" spans="3:21" s="6" customFormat="1" ht="42.75" customHeight="1">
      <c r="C347" s="10"/>
      <c r="D347" s="10"/>
      <c r="E347" s="10"/>
      <c r="F347" s="38" t="s">
        <v>483</v>
      </c>
      <c r="G347" s="97">
        <f>H347+K347</f>
        <v>620983.55</v>
      </c>
      <c r="H347" s="97">
        <f>141247+35000+317891+126845.55</f>
        <v>620983.55</v>
      </c>
      <c r="I347" s="101"/>
      <c r="J347" s="101"/>
      <c r="K347" s="101"/>
      <c r="L347" s="97">
        <f>N347+Q347</f>
        <v>0</v>
      </c>
      <c r="M347" s="101"/>
      <c r="N347" s="101"/>
      <c r="O347" s="101"/>
      <c r="P347" s="101"/>
      <c r="Q347" s="97">
        <f t="shared" si="122"/>
        <v>0</v>
      </c>
      <c r="R347" s="98">
        <f t="shared" si="123"/>
        <v>620983.55</v>
      </c>
      <c r="S347" s="9"/>
      <c r="T347" s="9"/>
      <c r="U347" s="40"/>
    </row>
    <row r="348" spans="3:21" s="6" customFormat="1" ht="53.25" customHeight="1" hidden="1">
      <c r="C348" s="10"/>
      <c r="D348" s="10"/>
      <c r="E348" s="10"/>
      <c r="F348" s="38" t="s">
        <v>120</v>
      </c>
      <c r="G348" s="101">
        <f>H348+K348</f>
        <v>0</v>
      </c>
      <c r="H348" s="101"/>
      <c r="I348" s="101"/>
      <c r="J348" s="101"/>
      <c r="K348" s="101"/>
      <c r="L348" s="101">
        <f aca="true" t="shared" si="130" ref="L348:L364">N348+Q348</f>
        <v>0</v>
      </c>
      <c r="M348" s="101"/>
      <c r="N348" s="101"/>
      <c r="O348" s="101"/>
      <c r="P348" s="101"/>
      <c r="Q348" s="97">
        <f t="shared" si="122"/>
        <v>0</v>
      </c>
      <c r="R348" s="98">
        <f t="shared" si="123"/>
        <v>0</v>
      </c>
      <c r="S348" s="9"/>
      <c r="T348" s="9"/>
      <c r="U348" s="40"/>
    </row>
    <row r="349" spans="3:20" s="5" customFormat="1" ht="53.25" customHeight="1" hidden="1">
      <c r="C349" s="25"/>
      <c r="D349" s="25"/>
      <c r="E349" s="25"/>
      <c r="F349" s="26" t="s">
        <v>158</v>
      </c>
      <c r="G349" s="101">
        <f>H349+K349</f>
        <v>0</v>
      </c>
      <c r="H349" s="97"/>
      <c r="I349" s="97"/>
      <c r="J349" s="97"/>
      <c r="K349" s="97"/>
      <c r="L349" s="97">
        <f t="shared" si="130"/>
        <v>0</v>
      </c>
      <c r="M349" s="97"/>
      <c r="N349" s="97"/>
      <c r="O349" s="97"/>
      <c r="P349" s="97"/>
      <c r="Q349" s="97">
        <f t="shared" si="122"/>
        <v>0</v>
      </c>
      <c r="R349" s="98">
        <f t="shared" si="123"/>
        <v>0</v>
      </c>
      <c r="S349" s="9"/>
      <c r="T349" s="9"/>
    </row>
    <row r="350" spans="3:21" s="5" customFormat="1" ht="51.75" customHeight="1" hidden="1">
      <c r="C350" s="25" t="s">
        <v>450</v>
      </c>
      <c r="D350" s="25" t="s">
        <v>306</v>
      </c>
      <c r="E350" s="25" t="s">
        <v>160</v>
      </c>
      <c r="F350" s="34" t="s">
        <v>307</v>
      </c>
      <c r="G350" s="97">
        <f>H350</f>
        <v>0</v>
      </c>
      <c r="H350" s="97">
        <f>SUM(H351:H354)</f>
        <v>0</v>
      </c>
      <c r="I350" s="97">
        <f aca="true" t="shared" si="131" ref="I350:P350">SUM(I351:I354)</f>
        <v>0</v>
      </c>
      <c r="J350" s="97">
        <f t="shared" si="131"/>
        <v>0</v>
      </c>
      <c r="K350" s="97">
        <f t="shared" si="131"/>
        <v>0</v>
      </c>
      <c r="L350" s="97">
        <f t="shared" si="130"/>
        <v>0</v>
      </c>
      <c r="M350" s="97">
        <f>SUM(M351:M354)</f>
        <v>0</v>
      </c>
      <c r="N350" s="97">
        <f t="shared" si="131"/>
        <v>0</v>
      </c>
      <c r="O350" s="97">
        <f t="shared" si="131"/>
        <v>0</v>
      </c>
      <c r="P350" s="97">
        <f t="shared" si="131"/>
        <v>0</v>
      </c>
      <c r="Q350" s="97">
        <f t="shared" si="122"/>
        <v>0</v>
      </c>
      <c r="R350" s="98">
        <f t="shared" si="123"/>
        <v>0</v>
      </c>
      <c r="S350" s="4"/>
      <c r="T350" s="4"/>
      <c r="U350" s="12"/>
    </row>
    <row r="351" spans="3:21" s="6" customFormat="1" ht="55.5" customHeight="1" hidden="1">
      <c r="C351" s="10"/>
      <c r="D351" s="10"/>
      <c r="E351" s="10"/>
      <c r="F351" s="26" t="s">
        <v>185</v>
      </c>
      <c r="G351" s="101">
        <f>H351</f>
        <v>0</v>
      </c>
      <c r="H351" s="101"/>
      <c r="I351" s="101"/>
      <c r="J351" s="101"/>
      <c r="K351" s="101"/>
      <c r="L351" s="97">
        <f t="shared" si="130"/>
        <v>0</v>
      </c>
      <c r="M351" s="97"/>
      <c r="N351" s="97"/>
      <c r="O351" s="97"/>
      <c r="P351" s="97"/>
      <c r="Q351" s="97">
        <f t="shared" si="122"/>
        <v>0</v>
      </c>
      <c r="R351" s="98">
        <f t="shared" si="123"/>
        <v>0</v>
      </c>
      <c r="S351" s="9"/>
      <c r="T351" s="9"/>
      <c r="U351" s="40"/>
    </row>
    <row r="352" spans="3:21" s="6" customFormat="1" ht="60.75" customHeight="1" hidden="1">
      <c r="C352" s="10"/>
      <c r="D352" s="10"/>
      <c r="E352" s="10"/>
      <c r="F352" s="26" t="s">
        <v>119</v>
      </c>
      <c r="G352" s="101">
        <f>H352</f>
        <v>0</v>
      </c>
      <c r="H352" s="101"/>
      <c r="I352" s="101"/>
      <c r="J352" s="101"/>
      <c r="K352" s="101"/>
      <c r="L352" s="97">
        <f t="shared" si="130"/>
        <v>0</v>
      </c>
      <c r="M352" s="97"/>
      <c r="N352" s="97"/>
      <c r="O352" s="97"/>
      <c r="P352" s="97"/>
      <c r="Q352" s="97">
        <f t="shared" si="122"/>
        <v>0</v>
      </c>
      <c r="R352" s="98">
        <f t="shared" si="123"/>
        <v>0</v>
      </c>
      <c r="S352" s="9"/>
      <c r="T352" s="9"/>
      <c r="U352" s="40"/>
    </row>
    <row r="353" spans="3:21" s="6" customFormat="1" ht="60.75" customHeight="1" hidden="1">
      <c r="C353" s="10"/>
      <c r="D353" s="10"/>
      <c r="E353" s="10"/>
      <c r="F353" s="26" t="s">
        <v>161</v>
      </c>
      <c r="G353" s="97">
        <f>H353</f>
        <v>0</v>
      </c>
      <c r="H353" s="97"/>
      <c r="I353" s="101"/>
      <c r="J353" s="101"/>
      <c r="K353" s="101"/>
      <c r="L353" s="97">
        <f t="shared" si="130"/>
        <v>0</v>
      </c>
      <c r="M353" s="97"/>
      <c r="N353" s="97"/>
      <c r="O353" s="97"/>
      <c r="P353" s="97"/>
      <c r="Q353" s="97">
        <f t="shared" si="122"/>
        <v>0</v>
      </c>
      <c r="R353" s="98">
        <f t="shared" si="123"/>
        <v>0</v>
      </c>
      <c r="S353" s="9"/>
      <c r="T353" s="9"/>
      <c r="U353" s="40"/>
    </row>
    <row r="354" spans="3:21" s="6" customFormat="1" ht="60.75" customHeight="1" hidden="1">
      <c r="C354" s="10"/>
      <c r="D354" s="10"/>
      <c r="E354" s="10"/>
      <c r="F354" s="26" t="s">
        <v>463</v>
      </c>
      <c r="G354" s="101">
        <f>H354</f>
        <v>0</v>
      </c>
      <c r="H354" s="101"/>
      <c r="I354" s="101"/>
      <c r="J354" s="101"/>
      <c r="K354" s="101"/>
      <c r="L354" s="101">
        <f t="shared" si="130"/>
        <v>0</v>
      </c>
      <c r="M354" s="101"/>
      <c r="N354" s="101"/>
      <c r="O354" s="101"/>
      <c r="P354" s="101"/>
      <c r="Q354" s="97">
        <f t="shared" si="122"/>
        <v>0</v>
      </c>
      <c r="R354" s="98">
        <f t="shared" si="123"/>
        <v>0</v>
      </c>
      <c r="S354" s="9"/>
      <c r="T354" s="9"/>
      <c r="U354" s="40"/>
    </row>
    <row r="355" spans="3:21" s="5" customFormat="1" ht="39" customHeight="1">
      <c r="C355" s="25" t="s">
        <v>451</v>
      </c>
      <c r="D355" s="25" t="s">
        <v>308</v>
      </c>
      <c r="E355" s="25" t="s">
        <v>160</v>
      </c>
      <c r="F355" s="34" t="s">
        <v>309</v>
      </c>
      <c r="G355" s="97">
        <f>SUM(G356:G362)</f>
        <v>698478</v>
      </c>
      <c r="H355" s="97">
        <f>SUM(H356:H362)</f>
        <v>698478</v>
      </c>
      <c r="I355" s="97">
        <f>SUM(I356:I362)</f>
        <v>0</v>
      </c>
      <c r="J355" s="97">
        <f>SUM(J356:J362)</f>
        <v>0</v>
      </c>
      <c r="K355" s="97">
        <f>SUM(K356:K362)</f>
        <v>0</v>
      </c>
      <c r="L355" s="97">
        <f t="shared" si="130"/>
        <v>0</v>
      </c>
      <c r="M355" s="97">
        <f>SUM(M356:M362)</f>
        <v>0</v>
      </c>
      <c r="N355" s="97">
        <f>SUM(N356:N362)</f>
        <v>0</v>
      </c>
      <c r="O355" s="97">
        <f>SUM(O356:O362)</f>
        <v>0</v>
      </c>
      <c r="P355" s="97">
        <f>SUM(P356:P362)</f>
        <v>0</v>
      </c>
      <c r="Q355" s="97">
        <f t="shared" si="122"/>
        <v>0</v>
      </c>
      <c r="R355" s="98">
        <f t="shared" si="123"/>
        <v>698478</v>
      </c>
      <c r="S355" s="4"/>
      <c r="T355" s="4"/>
      <c r="U355" s="12"/>
    </row>
    <row r="356" spans="3:20" s="6" customFormat="1" ht="60" customHeight="1" hidden="1">
      <c r="C356" s="10"/>
      <c r="D356" s="10"/>
      <c r="E356" s="10"/>
      <c r="F356" s="26" t="s">
        <v>161</v>
      </c>
      <c r="G356" s="101">
        <f aca="true" t="shared" si="132" ref="G356:G372">H356+K356</f>
        <v>0</v>
      </c>
      <c r="H356" s="101"/>
      <c r="I356" s="101"/>
      <c r="J356" s="101"/>
      <c r="K356" s="101"/>
      <c r="L356" s="101">
        <f t="shared" si="130"/>
        <v>0</v>
      </c>
      <c r="M356" s="101"/>
      <c r="N356" s="101"/>
      <c r="O356" s="101"/>
      <c r="P356" s="101"/>
      <c r="Q356" s="97">
        <f t="shared" si="122"/>
        <v>0</v>
      </c>
      <c r="R356" s="98">
        <f t="shared" si="123"/>
        <v>0</v>
      </c>
      <c r="S356" s="9"/>
      <c r="T356" s="9"/>
    </row>
    <row r="357" spans="3:20" s="6" customFormat="1" ht="57.75" customHeight="1">
      <c r="C357" s="10"/>
      <c r="D357" s="10"/>
      <c r="E357" s="10"/>
      <c r="F357" s="26" t="s">
        <v>119</v>
      </c>
      <c r="G357" s="97">
        <f t="shared" si="132"/>
        <v>270000</v>
      </c>
      <c r="H357" s="97">
        <v>270000</v>
      </c>
      <c r="I357" s="101"/>
      <c r="J357" s="101"/>
      <c r="K357" s="101"/>
      <c r="L357" s="101">
        <f t="shared" si="130"/>
        <v>0</v>
      </c>
      <c r="M357" s="101"/>
      <c r="N357" s="101"/>
      <c r="O357" s="101"/>
      <c r="P357" s="101"/>
      <c r="Q357" s="97">
        <f t="shared" si="122"/>
        <v>0</v>
      </c>
      <c r="R357" s="98">
        <f t="shared" si="123"/>
        <v>270000</v>
      </c>
      <c r="S357" s="9"/>
      <c r="T357" s="9"/>
    </row>
    <row r="358" spans="3:20" s="6" customFormat="1" ht="54.75" customHeight="1" hidden="1">
      <c r="C358" s="10"/>
      <c r="D358" s="10"/>
      <c r="E358" s="10"/>
      <c r="F358" s="26" t="s">
        <v>113</v>
      </c>
      <c r="G358" s="101">
        <f t="shared" si="132"/>
        <v>0</v>
      </c>
      <c r="H358" s="101"/>
      <c r="I358" s="101"/>
      <c r="J358" s="101"/>
      <c r="K358" s="101"/>
      <c r="L358" s="97">
        <f t="shared" si="130"/>
        <v>0</v>
      </c>
      <c r="M358" s="97"/>
      <c r="N358" s="97"/>
      <c r="O358" s="97"/>
      <c r="P358" s="97"/>
      <c r="Q358" s="97">
        <f t="shared" si="122"/>
        <v>0</v>
      </c>
      <c r="R358" s="98">
        <f t="shared" si="123"/>
        <v>0</v>
      </c>
      <c r="S358" s="9"/>
      <c r="T358" s="9"/>
    </row>
    <row r="359" spans="3:20" s="6" customFormat="1" ht="54.75" customHeight="1">
      <c r="C359" s="10"/>
      <c r="D359" s="10"/>
      <c r="E359" s="10"/>
      <c r="F359" s="26" t="s">
        <v>626</v>
      </c>
      <c r="G359" s="97">
        <f t="shared" si="132"/>
        <v>428478</v>
      </c>
      <c r="H359" s="97">
        <f>480618-52140</f>
        <v>428478</v>
      </c>
      <c r="I359" s="97"/>
      <c r="J359" s="97"/>
      <c r="K359" s="101"/>
      <c r="L359" s="97">
        <f t="shared" si="130"/>
        <v>0</v>
      </c>
      <c r="M359" s="97"/>
      <c r="N359" s="97"/>
      <c r="O359" s="97"/>
      <c r="P359" s="97"/>
      <c r="Q359" s="97">
        <f>M359</f>
        <v>0</v>
      </c>
      <c r="R359" s="98">
        <f>L359+G359</f>
        <v>428478</v>
      </c>
      <c r="S359" s="9"/>
      <c r="T359" s="9"/>
    </row>
    <row r="360" spans="3:20" s="6" customFormat="1" ht="33.75" customHeight="1" hidden="1">
      <c r="C360" s="10"/>
      <c r="D360" s="10"/>
      <c r="E360" s="10"/>
      <c r="F360" s="26" t="s">
        <v>483</v>
      </c>
      <c r="G360" s="101">
        <f t="shared" si="132"/>
        <v>0</v>
      </c>
      <c r="H360" s="101"/>
      <c r="I360" s="101"/>
      <c r="J360" s="101"/>
      <c r="K360" s="101"/>
      <c r="L360" s="101">
        <f t="shared" si="130"/>
        <v>0</v>
      </c>
      <c r="M360" s="101"/>
      <c r="N360" s="101"/>
      <c r="O360" s="101"/>
      <c r="P360" s="101"/>
      <c r="Q360" s="97">
        <f t="shared" si="122"/>
        <v>0</v>
      </c>
      <c r="R360" s="98">
        <f t="shared" si="123"/>
        <v>0</v>
      </c>
      <c r="S360" s="9"/>
      <c r="T360" s="9"/>
    </row>
    <row r="361" spans="3:20" s="6" customFormat="1" ht="33.75" customHeight="1" hidden="1">
      <c r="C361" s="10"/>
      <c r="D361" s="10"/>
      <c r="E361" s="10"/>
      <c r="F361" s="26" t="s">
        <v>186</v>
      </c>
      <c r="G361" s="101">
        <f t="shared" si="132"/>
        <v>0</v>
      </c>
      <c r="H361" s="101"/>
      <c r="I361" s="101"/>
      <c r="J361" s="101"/>
      <c r="K361" s="101"/>
      <c r="L361" s="101">
        <f t="shared" si="130"/>
        <v>0</v>
      </c>
      <c r="M361" s="101"/>
      <c r="N361" s="101"/>
      <c r="O361" s="101"/>
      <c r="P361" s="101"/>
      <c r="Q361" s="97">
        <f t="shared" si="122"/>
        <v>0</v>
      </c>
      <c r="R361" s="98">
        <f t="shared" si="123"/>
        <v>0</v>
      </c>
      <c r="S361" s="9"/>
      <c r="T361" s="9"/>
    </row>
    <row r="362" spans="3:20" s="6" customFormat="1" ht="48" customHeight="1" hidden="1">
      <c r="C362" s="10"/>
      <c r="D362" s="10"/>
      <c r="E362" s="10"/>
      <c r="F362" s="26" t="s">
        <v>709</v>
      </c>
      <c r="G362" s="101">
        <f t="shared" si="132"/>
        <v>0</v>
      </c>
      <c r="H362" s="101"/>
      <c r="I362" s="101"/>
      <c r="J362" s="101"/>
      <c r="K362" s="101"/>
      <c r="L362" s="101">
        <f t="shared" si="130"/>
        <v>0</v>
      </c>
      <c r="M362" s="101"/>
      <c r="N362" s="101"/>
      <c r="O362" s="101"/>
      <c r="P362" s="101"/>
      <c r="Q362" s="97">
        <f t="shared" si="122"/>
        <v>0</v>
      </c>
      <c r="R362" s="98">
        <f t="shared" si="123"/>
        <v>0</v>
      </c>
      <c r="S362" s="9"/>
      <c r="T362" s="9"/>
    </row>
    <row r="363" spans="3:20" s="5" customFormat="1" ht="33.75" customHeight="1" hidden="1">
      <c r="C363" s="25" t="s">
        <v>452</v>
      </c>
      <c r="D363" s="25" t="s">
        <v>312</v>
      </c>
      <c r="E363" s="25" t="s">
        <v>160</v>
      </c>
      <c r="F363" s="34" t="s">
        <v>313</v>
      </c>
      <c r="G363" s="97">
        <f t="shared" si="132"/>
        <v>0</v>
      </c>
      <c r="H363" s="97">
        <f>H364</f>
        <v>0</v>
      </c>
      <c r="I363" s="97">
        <f>I364</f>
        <v>0</v>
      </c>
      <c r="J363" s="97">
        <f>J364</f>
        <v>0</v>
      </c>
      <c r="K363" s="97">
        <f>K364</f>
        <v>0</v>
      </c>
      <c r="L363" s="97">
        <f>M363+Q363</f>
        <v>0</v>
      </c>
      <c r="M363" s="97">
        <f>M364</f>
        <v>0</v>
      </c>
      <c r="N363" s="97">
        <f>N364</f>
        <v>0</v>
      </c>
      <c r="O363" s="97">
        <f>O364</f>
        <v>0</v>
      </c>
      <c r="P363" s="97">
        <f>P364</f>
        <v>0</v>
      </c>
      <c r="Q363" s="97">
        <f t="shared" si="122"/>
        <v>0</v>
      </c>
      <c r="R363" s="98">
        <f t="shared" si="123"/>
        <v>0</v>
      </c>
      <c r="S363" s="4"/>
      <c r="T363" s="4"/>
    </row>
    <row r="364" spans="3:20" s="6" customFormat="1" ht="54.75" customHeight="1" hidden="1">
      <c r="C364" s="10"/>
      <c r="D364" s="10"/>
      <c r="E364" s="10"/>
      <c r="F364" s="26" t="s">
        <v>119</v>
      </c>
      <c r="G364" s="101">
        <f t="shared" si="132"/>
        <v>0</v>
      </c>
      <c r="H364" s="101"/>
      <c r="I364" s="101"/>
      <c r="J364" s="101"/>
      <c r="K364" s="101"/>
      <c r="L364" s="101">
        <f t="shared" si="130"/>
        <v>0</v>
      </c>
      <c r="M364" s="101"/>
      <c r="N364" s="101"/>
      <c r="O364" s="101"/>
      <c r="P364" s="101"/>
      <c r="Q364" s="97">
        <f t="shared" si="122"/>
        <v>0</v>
      </c>
      <c r="R364" s="98">
        <f aca="true" t="shared" si="133" ref="R364:R384">L364+G364</f>
        <v>0</v>
      </c>
      <c r="S364" s="9"/>
      <c r="T364" s="9"/>
    </row>
    <row r="365" spans="3:20" s="5" customFormat="1" ht="33.75" customHeight="1" hidden="1">
      <c r="C365" s="25" t="s">
        <v>453</v>
      </c>
      <c r="D365" s="25" t="s">
        <v>314</v>
      </c>
      <c r="E365" s="25" t="s">
        <v>160</v>
      </c>
      <c r="F365" s="34" t="s">
        <v>555</v>
      </c>
      <c r="G365" s="97">
        <f t="shared" si="132"/>
        <v>0</v>
      </c>
      <c r="H365" s="97">
        <f>SUM(H366:H367)</f>
        <v>0</v>
      </c>
      <c r="I365" s="97">
        <f aca="true" t="shared" si="134" ref="I365:P365">SUM(I366:I367)</f>
        <v>0</v>
      </c>
      <c r="J365" s="97">
        <f t="shared" si="134"/>
        <v>0</v>
      </c>
      <c r="K365" s="97">
        <f t="shared" si="134"/>
        <v>0</v>
      </c>
      <c r="L365" s="97">
        <f aca="true" t="shared" si="135" ref="L365:L384">N365+Q365</f>
        <v>0</v>
      </c>
      <c r="M365" s="97">
        <f t="shared" si="134"/>
        <v>0</v>
      </c>
      <c r="N365" s="97">
        <f t="shared" si="134"/>
        <v>0</v>
      </c>
      <c r="O365" s="97">
        <f t="shared" si="134"/>
        <v>0</v>
      </c>
      <c r="P365" s="97">
        <f t="shared" si="134"/>
        <v>0</v>
      </c>
      <c r="Q365" s="97">
        <f t="shared" si="122"/>
        <v>0</v>
      </c>
      <c r="R365" s="98">
        <f t="shared" si="133"/>
        <v>0</v>
      </c>
      <c r="S365" s="4"/>
      <c r="T365" s="4"/>
    </row>
    <row r="366" spans="3:20" s="6" customFormat="1" ht="55.5" customHeight="1" hidden="1">
      <c r="C366" s="10"/>
      <c r="D366" s="10"/>
      <c r="E366" s="10"/>
      <c r="F366" s="26" t="s">
        <v>119</v>
      </c>
      <c r="G366" s="97">
        <f t="shared" si="132"/>
        <v>0</v>
      </c>
      <c r="H366" s="97"/>
      <c r="I366" s="101"/>
      <c r="J366" s="101"/>
      <c r="K366" s="101"/>
      <c r="L366" s="97">
        <f t="shared" si="135"/>
        <v>0</v>
      </c>
      <c r="M366" s="97"/>
      <c r="N366" s="97"/>
      <c r="O366" s="97"/>
      <c r="P366" s="97"/>
      <c r="Q366" s="97">
        <f t="shared" si="122"/>
        <v>0</v>
      </c>
      <c r="R366" s="98">
        <f t="shared" si="133"/>
        <v>0</v>
      </c>
      <c r="S366" s="9"/>
      <c r="T366" s="9"/>
    </row>
    <row r="367" spans="3:20" s="6" customFormat="1" ht="42" customHeight="1" hidden="1">
      <c r="C367" s="10"/>
      <c r="D367" s="10"/>
      <c r="E367" s="10"/>
      <c r="F367" s="26" t="s">
        <v>543</v>
      </c>
      <c r="G367" s="101">
        <f t="shared" si="132"/>
        <v>0</v>
      </c>
      <c r="H367" s="101"/>
      <c r="I367" s="101"/>
      <c r="J367" s="101"/>
      <c r="K367" s="101"/>
      <c r="L367" s="97">
        <f t="shared" si="135"/>
        <v>0</v>
      </c>
      <c r="M367" s="97"/>
      <c r="N367" s="97"/>
      <c r="O367" s="97"/>
      <c r="P367" s="97"/>
      <c r="Q367" s="97">
        <f t="shared" si="122"/>
        <v>0</v>
      </c>
      <c r="R367" s="98">
        <f t="shared" si="133"/>
        <v>0</v>
      </c>
      <c r="S367" s="9"/>
      <c r="T367" s="9"/>
    </row>
    <row r="368" spans="3:20" s="5" customFormat="1" ht="51.75" customHeight="1" hidden="1">
      <c r="C368" s="25" t="s">
        <v>454</v>
      </c>
      <c r="D368" s="25" t="s">
        <v>315</v>
      </c>
      <c r="E368" s="25" t="s">
        <v>160</v>
      </c>
      <c r="F368" s="34" t="s">
        <v>317</v>
      </c>
      <c r="G368" s="97">
        <f t="shared" si="132"/>
        <v>0</v>
      </c>
      <c r="H368" s="97">
        <f>H369</f>
        <v>0</v>
      </c>
      <c r="I368" s="97">
        <f>I369</f>
        <v>0</v>
      </c>
      <c r="J368" s="97">
        <f>J369</f>
        <v>0</v>
      </c>
      <c r="K368" s="97">
        <f>K369</f>
        <v>0</v>
      </c>
      <c r="L368" s="97">
        <f t="shared" si="135"/>
        <v>0</v>
      </c>
      <c r="M368" s="97">
        <f>M369</f>
        <v>0</v>
      </c>
      <c r="N368" s="97">
        <f>N369</f>
        <v>0</v>
      </c>
      <c r="O368" s="97">
        <f>O369</f>
        <v>0</v>
      </c>
      <c r="P368" s="97">
        <f>P369</f>
        <v>0</v>
      </c>
      <c r="Q368" s="97">
        <f t="shared" si="122"/>
        <v>0</v>
      </c>
      <c r="R368" s="98">
        <f t="shared" si="133"/>
        <v>0</v>
      </c>
      <c r="S368" s="4"/>
      <c r="T368" s="4"/>
    </row>
    <row r="369" spans="3:20" s="6" customFormat="1" ht="60" customHeight="1" hidden="1">
      <c r="C369" s="10"/>
      <c r="D369" s="10"/>
      <c r="E369" s="10"/>
      <c r="F369" s="26" t="s">
        <v>318</v>
      </c>
      <c r="G369" s="101">
        <f t="shared" si="132"/>
        <v>0</v>
      </c>
      <c r="H369" s="101"/>
      <c r="I369" s="101"/>
      <c r="J369" s="101"/>
      <c r="K369" s="101"/>
      <c r="L369" s="101">
        <f t="shared" si="135"/>
        <v>0</v>
      </c>
      <c r="M369" s="101"/>
      <c r="N369" s="101"/>
      <c r="O369" s="101"/>
      <c r="P369" s="101"/>
      <c r="Q369" s="97">
        <f t="shared" si="122"/>
        <v>0</v>
      </c>
      <c r="R369" s="98">
        <f t="shared" si="133"/>
        <v>0</v>
      </c>
      <c r="S369" s="9"/>
      <c r="T369" s="9"/>
    </row>
    <row r="370" spans="3:20" s="5" customFormat="1" ht="51" customHeight="1" hidden="1">
      <c r="C370" s="25" t="s">
        <v>455</v>
      </c>
      <c r="D370" s="25" t="s">
        <v>316</v>
      </c>
      <c r="E370" s="25" t="s">
        <v>160</v>
      </c>
      <c r="F370" s="34" t="s">
        <v>319</v>
      </c>
      <c r="G370" s="97">
        <f t="shared" si="132"/>
        <v>0</v>
      </c>
      <c r="H370" s="97"/>
      <c r="I370" s="97"/>
      <c r="J370" s="97"/>
      <c r="K370" s="97"/>
      <c r="L370" s="97">
        <f t="shared" si="135"/>
        <v>0</v>
      </c>
      <c r="M370" s="97"/>
      <c r="N370" s="97"/>
      <c r="O370" s="97"/>
      <c r="P370" s="97"/>
      <c r="Q370" s="97">
        <f t="shared" si="122"/>
        <v>0</v>
      </c>
      <c r="R370" s="98">
        <f t="shared" si="133"/>
        <v>0</v>
      </c>
      <c r="S370" s="4"/>
      <c r="T370" s="4"/>
    </row>
    <row r="371" spans="1:21" s="5" customFormat="1" ht="36" customHeight="1">
      <c r="A371" s="5">
        <v>4</v>
      </c>
      <c r="B371" s="5">
        <v>40</v>
      </c>
      <c r="C371" s="25" t="s">
        <v>430</v>
      </c>
      <c r="D371" s="25" t="s">
        <v>159</v>
      </c>
      <c r="E371" s="25" t="s">
        <v>160</v>
      </c>
      <c r="F371" s="35" t="s">
        <v>310</v>
      </c>
      <c r="G371" s="97">
        <f t="shared" si="132"/>
        <v>29449054</v>
      </c>
      <c r="H371" s="97">
        <f>SUM(H372:H380)</f>
        <v>29449054</v>
      </c>
      <c r="I371" s="97">
        <f>SUM(I372:I380)</f>
        <v>0</v>
      </c>
      <c r="J371" s="97">
        <f>SUM(J372:J380)</f>
        <v>0</v>
      </c>
      <c r="K371" s="97"/>
      <c r="L371" s="97">
        <f t="shared" si="135"/>
        <v>1703428</v>
      </c>
      <c r="M371" s="97">
        <f>SUM(M372:M380)</f>
        <v>1703428</v>
      </c>
      <c r="N371" s="97">
        <f>SUM(N372:N380)</f>
        <v>0</v>
      </c>
      <c r="O371" s="97">
        <f>SUM(O372:O380)</f>
        <v>0</v>
      </c>
      <c r="P371" s="97">
        <f>SUM(P372:P380)</f>
        <v>0</v>
      </c>
      <c r="Q371" s="97">
        <f t="shared" si="122"/>
        <v>1703428</v>
      </c>
      <c r="R371" s="98">
        <f t="shared" si="133"/>
        <v>31152482</v>
      </c>
      <c r="S371" s="4"/>
      <c r="T371" s="4"/>
      <c r="U371" s="12"/>
    </row>
    <row r="372" spans="3:21" s="6" customFormat="1" ht="51.75" customHeight="1">
      <c r="C372" s="10"/>
      <c r="D372" s="10"/>
      <c r="E372" s="10"/>
      <c r="F372" s="26" t="s">
        <v>119</v>
      </c>
      <c r="G372" s="97">
        <f t="shared" si="132"/>
        <v>28307642</v>
      </c>
      <c r="H372" s="97">
        <f>19474200+100000+7634121+2159321-1060000</f>
        <v>28307642</v>
      </c>
      <c r="I372" s="101"/>
      <c r="J372" s="101"/>
      <c r="K372" s="101"/>
      <c r="L372" s="97">
        <f t="shared" si="135"/>
        <v>147000</v>
      </c>
      <c r="M372" s="97">
        <f>147000+49999-49999</f>
        <v>147000</v>
      </c>
      <c r="N372" s="97"/>
      <c r="O372" s="97"/>
      <c r="P372" s="97"/>
      <c r="Q372" s="97">
        <f t="shared" si="122"/>
        <v>147000</v>
      </c>
      <c r="R372" s="98">
        <f t="shared" si="133"/>
        <v>28454642</v>
      </c>
      <c r="S372" s="9"/>
      <c r="T372" s="9"/>
      <c r="U372" s="40"/>
    </row>
    <row r="373" spans="3:21" s="6" customFormat="1" ht="63.75" customHeight="1" hidden="1">
      <c r="C373" s="10"/>
      <c r="D373" s="10"/>
      <c r="E373" s="10"/>
      <c r="F373" s="36" t="s">
        <v>185</v>
      </c>
      <c r="G373" s="101">
        <f aca="true" t="shared" si="136" ref="G373:G387">H373+K373</f>
        <v>0</v>
      </c>
      <c r="H373" s="101"/>
      <c r="I373" s="101"/>
      <c r="J373" s="101"/>
      <c r="K373" s="101"/>
      <c r="L373" s="101">
        <f t="shared" si="135"/>
        <v>0</v>
      </c>
      <c r="M373" s="101"/>
      <c r="N373" s="101"/>
      <c r="O373" s="101"/>
      <c r="P373" s="101"/>
      <c r="Q373" s="97">
        <f t="shared" si="122"/>
        <v>0</v>
      </c>
      <c r="R373" s="98">
        <f t="shared" si="133"/>
        <v>0</v>
      </c>
      <c r="S373" s="9"/>
      <c r="T373" s="9"/>
      <c r="U373" s="40"/>
    </row>
    <row r="374" spans="3:20" s="6" customFormat="1" ht="51" customHeight="1" hidden="1">
      <c r="C374" s="10"/>
      <c r="D374" s="10"/>
      <c r="E374" s="10"/>
      <c r="F374" s="26" t="s">
        <v>161</v>
      </c>
      <c r="G374" s="101">
        <f>H374+K374</f>
        <v>0</v>
      </c>
      <c r="H374" s="101"/>
      <c r="I374" s="101"/>
      <c r="J374" s="101"/>
      <c r="K374" s="101"/>
      <c r="L374" s="97">
        <f t="shared" si="135"/>
        <v>0</v>
      </c>
      <c r="M374" s="97"/>
      <c r="N374" s="97"/>
      <c r="O374" s="97"/>
      <c r="P374" s="97"/>
      <c r="Q374" s="97">
        <f t="shared" si="122"/>
        <v>0</v>
      </c>
      <c r="R374" s="98">
        <f t="shared" si="133"/>
        <v>0</v>
      </c>
      <c r="S374" s="9"/>
      <c r="T374" s="9"/>
    </row>
    <row r="375" spans="3:21" s="6" customFormat="1" ht="37.5" customHeight="1">
      <c r="C375" s="10"/>
      <c r="D375" s="10"/>
      <c r="E375" s="10"/>
      <c r="F375" s="36" t="s">
        <v>483</v>
      </c>
      <c r="G375" s="97">
        <f t="shared" si="136"/>
        <v>77400</v>
      </c>
      <c r="H375" s="97">
        <f>22000+56900-1500</f>
        <v>77400</v>
      </c>
      <c r="I375" s="101"/>
      <c r="J375" s="101"/>
      <c r="K375" s="101"/>
      <c r="L375" s="97">
        <f t="shared" si="135"/>
        <v>32200</v>
      </c>
      <c r="M375" s="97">
        <f>7200+25000</f>
        <v>32200</v>
      </c>
      <c r="N375" s="97"/>
      <c r="O375" s="97"/>
      <c r="P375" s="97"/>
      <c r="Q375" s="97">
        <f t="shared" si="122"/>
        <v>32200</v>
      </c>
      <c r="R375" s="98">
        <f t="shared" si="133"/>
        <v>109600</v>
      </c>
      <c r="S375" s="9"/>
      <c r="T375" s="9"/>
      <c r="U375" s="40"/>
    </row>
    <row r="376" spans="3:21" s="6" customFormat="1" ht="45" customHeight="1" hidden="1">
      <c r="C376" s="10"/>
      <c r="D376" s="10"/>
      <c r="E376" s="10"/>
      <c r="F376" s="36" t="s">
        <v>544</v>
      </c>
      <c r="G376" s="101">
        <f t="shared" si="136"/>
        <v>0</v>
      </c>
      <c r="H376" s="101"/>
      <c r="I376" s="101"/>
      <c r="J376" s="101"/>
      <c r="K376" s="101"/>
      <c r="L376" s="101">
        <f t="shared" si="135"/>
        <v>0</v>
      </c>
      <c r="M376" s="101"/>
      <c r="N376" s="101"/>
      <c r="O376" s="101"/>
      <c r="P376" s="101"/>
      <c r="Q376" s="97">
        <f t="shared" si="122"/>
        <v>0</v>
      </c>
      <c r="R376" s="98">
        <f t="shared" si="133"/>
        <v>0</v>
      </c>
      <c r="S376" s="9"/>
      <c r="T376" s="9"/>
      <c r="U376" s="40"/>
    </row>
    <row r="377" spans="3:21" s="6" customFormat="1" ht="48.75" customHeight="1">
      <c r="C377" s="10"/>
      <c r="D377" s="10"/>
      <c r="E377" s="10"/>
      <c r="F377" s="36" t="s">
        <v>183</v>
      </c>
      <c r="G377" s="97">
        <f t="shared" si="136"/>
        <v>205000</v>
      </c>
      <c r="H377" s="97">
        <f>228000-100000+70000+7000</f>
        <v>205000</v>
      </c>
      <c r="I377" s="101"/>
      <c r="J377" s="101"/>
      <c r="K377" s="101"/>
      <c r="L377" s="97">
        <f t="shared" si="135"/>
        <v>1443000</v>
      </c>
      <c r="M377" s="97">
        <f>2200000+100000-850000-7000</f>
        <v>1443000</v>
      </c>
      <c r="N377" s="97"/>
      <c r="O377" s="97"/>
      <c r="P377" s="97"/>
      <c r="Q377" s="97">
        <f t="shared" si="122"/>
        <v>1443000</v>
      </c>
      <c r="R377" s="98">
        <f t="shared" si="133"/>
        <v>1648000</v>
      </c>
      <c r="S377" s="9"/>
      <c r="T377" s="9"/>
      <c r="U377" s="40"/>
    </row>
    <row r="378" spans="3:21" s="6" customFormat="1" ht="51.75" customHeight="1" hidden="1">
      <c r="C378" s="10"/>
      <c r="D378" s="10"/>
      <c r="E378" s="10"/>
      <c r="F378" s="36" t="s">
        <v>115</v>
      </c>
      <c r="G378" s="97">
        <f t="shared" si="136"/>
        <v>0</v>
      </c>
      <c r="H378" s="101"/>
      <c r="I378" s="101"/>
      <c r="J378" s="101"/>
      <c r="K378" s="101"/>
      <c r="L378" s="97">
        <f t="shared" si="135"/>
        <v>0</v>
      </c>
      <c r="M378" s="101"/>
      <c r="N378" s="101"/>
      <c r="O378" s="101"/>
      <c r="P378" s="101"/>
      <c r="Q378" s="97">
        <f>M378</f>
        <v>0</v>
      </c>
      <c r="R378" s="98">
        <f>L378+G378</f>
        <v>0</v>
      </c>
      <c r="S378" s="9"/>
      <c r="T378" s="9"/>
      <c r="U378" s="40"/>
    </row>
    <row r="379" spans="3:21" s="6" customFormat="1" ht="51.75" customHeight="1">
      <c r="C379" s="10"/>
      <c r="D379" s="10"/>
      <c r="E379" s="10"/>
      <c r="F379" s="36" t="s">
        <v>628</v>
      </c>
      <c r="G379" s="97">
        <f t="shared" si="136"/>
        <v>31940</v>
      </c>
      <c r="H379" s="97">
        <f>47500-15560</f>
        <v>31940</v>
      </c>
      <c r="I379" s="101"/>
      <c r="J379" s="101"/>
      <c r="K379" s="101"/>
      <c r="L379" s="97">
        <f t="shared" si="135"/>
        <v>0</v>
      </c>
      <c r="M379" s="101"/>
      <c r="N379" s="101"/>
      <c r="O379" s="101"/>
      <c r="P379" s="101"/>
      <c r="Q379" s="97">
        <f>M379</f>
        <v>0</v>
      </c>
      <c r="R379" s="98">
        <f>L379+G379</f>
        <v>31940</v>
      </c>
      <c r="S379" s="9"/>
      <c r="T379" s="9"/>
      <c r="U379" s="40"/>
    </row>
    <row r="380" spans="3:21" s="6" customFormat="1" ht="52.5" customHeight="1">
      <c r="C380" s="10"/>
      <c r="D380" s="10"/>
      <c r="E380" s="10"/>
      <c r="F380" s="36" t="s">
        <v>184</v>
      </c>
      <c r="G380" s="97">
        <f t="shared" si="136"/>
        <v>827072</v>
      </c>
      <c r="H380" s="97">
        <f>834000-6928</f>
        <v>827072</v>
      </c>
      <c r="I380" s="101"/>
      <c r="J380" s="101"/>
      <c r="K380" s="101"/>
      <c r="L380" s="97">
        <f t="shared" si="135"/>
        <v>81228</v>
      </c>
      <c r="M380" s="97">
        <f>24300+50000+6928</f>
        <v>81228</v>
      </c>
      <c r="N380" s="101"/>
      <c r="O380" s="101"/>
      <c r="P380" s="101"/>
      <c r="Q380" s="97">
        <f t="shared" si="122"/>
        <v>81228</v>
      </c>
      <c r="R380" s="98">
        <f t="shared" si="133"/>
        <v>908300</v>
      </c>
      <c r="S380" s="9"/>
      <c r="T380" s="9"/>
      <c r="U380" s="40"/>
    </row>
    <row r="381" spans="3:21" s="6" customFormat="1" ht="32.25" customHeight="1">
      <c r="C381" s="25" t="s">
        <v>438</v>
      </c>
      <c r="D381" s="25" t="s">
        <v>439</v>
      </c>
      <c r="E381" s="25" t="s">
        <v>160</v>
      </c>
      <c r="F381" s="35" t="s">
        <v>440</v>
      </c>
      <c r="G381" s="97">
        <f t="shared" si="136"/>
        <v>71000</v>
      </c>
      <c r="H381" s="97">
        <f>H382</f>
        <v>71000</v>
      </c>
      <c r="I381" s="97">
        <f aca="true" t="shared" si="137" ref="I381:P381">I382</f>
        <v>0</v>
      </c>
      <c r="J381" s="97">
        <f t="shared" si="137"/>
        <v>0</v>
      </c>
      <c r="K381" s="97">
        <f t="shared" si="137"/>
        <v>0</v>
      </c>
      <c r="L381" s="97">
        <f t="shared" si="135"/>
        <v>0</v>
      </c>
      <c r="M381" s="97">
        <f t="shared" si="137"/>
        <v>0</v>
      </c>
      <c r="N381" s="97">
        <f t="shared" si="137"/>
        <v>0</v>
      </c>
      <c r="O381" s="97">
        <f t="shared" si="137"/>
        <v>0</v>
      </c>
      <c r="P381" s="97">
        <f t="shared" si="137"/>
        <v>0</v>
      </c>
      <c r="Q381" s="97">
        <f t="shared" si="122"/>
        <v>0</v>
      </c>
      <c r="R381" s="98">
        <f t="shared" si="133"/>
        <v>71000</v>
      </c>
      <c r="S381" s="4"/>
      <c r="T381" s="4"/>
      <c r="U381" s="40"/>
    </row>
    <row r="382" spans="3:21" s="6" customFormat="1" ht="45" customHeight="1">
      <c r="C382" s="10"/>
      <c r="D382" s="10"/>
      <c r="E382" s="10"/>
      <c r="F382" s="36" t="s">
        <v>580</v>
      </c>
      <c r="G382" s="97">
        <f t="shared" si="136"/>
        <v>71000</v>
      </c>
      <c r="H382" s="97">
        <v>71000</v>
      </c>
      <c r="I382" s="101"/>
      <c r="J382" s="101"/>
      <c r="K382" s="101"/>
      <c r="L382" s="101">
        <f t="shared" si="135"/>
        <v>0</v>
      </c>
      <c r="M382" s="101"/>
      <c r="N382" s="101"/>
      <c r="O382" s="101"/>
      <c r="P382" s="101"/>
      <c r="Q382" s="97">
        <f t="shared" si="122"/>
        <v>0</v>
      </c>
      <c r="R382" s="98">
        <f t="shared" si="133"/>
        <v>71000</v>
      </c>
      <c r="S382" s="9"/>
      <c r="T382" s="9"/>
      <c r="U382" s="40"/>
    </row>
    <row r="383" spans="3:21" s="6" customFormat="1" ht="30" customHeight="1">
      <c r="C383" s="25" t="s">
        <v>441</v>
      </c>
      <c r="D383" s="25" t="s">
        <v>389</v>
      </c>
      <c r="E383" s="25" t="s">
        <v>193</v>
      </c>
      <c r="F383" s="35" t="s">
        <v>390</v>
      </c>
      <c r="G383" s="97">
        <f>H383+K383</f>
        <v>715520</v>
      </c>
      <c r="H383" s="97">
        <f>H384</f>
        <v>715520</v>
      </c>
      <c r="I383" s="97">
        <f>I384</f>
        <v>0</v>
      </c>
      <c r="J383" s="97">
        <f>J384</f>
        <v>0</v>
      </c>
      <c r="K383" s="97">
        <f>K384</f>
        <v>0</v>
      </c>
      <c r="L383" s="97">
        <f t="shared" si="135"/>
        <v>0</v>
      </c>
      <c r="M383" s="97">
        <f>M384</f>
        <v>0</v>
      </c>
      <c r="N383" s="97">
        <f>N384</f>
        <v>0</v>
      </c>
      <c r="O383" s="97">
        <f>O384</f>
        <v>0</v>
      </c>
      <c r="P383" s="97">
        <f>P384</f>
        <v>0</v>
      </c>
      <c r="Q383" s="97">
        <f t="shared" si="122"/>
        <v>0</v>
      </c>
      <c r="R383" s="98">
        <f t="shared" si="133"/>
        <v>715520</v>
      </c>
      <c r="S383" s="4"/>
      <c r="T383" s="4"/>
      <c r="U383" s="40"/>
    </row>
    <row r="384" spans="3:21" s="6" customFormat="1" ht="53.25" customHeight="1">
      <c r="C384" s="10"/>
      <c r="D384" s="10"/>
      <c r="E384" s="10"/>
      <c r="F384" s="36" t="s">
        <v>184</v>
      </c>
      <c r="G384" s="97">
        <f>H384+K384</f>
        <v>715520</v>
      </c>
      <c r="H384" s="97">
        <f>816100-100580</f>
        <v>715520</v>
      </c>
      <c r="I384" s="101"/>
      <c r="J384" s="101"/>
      <c r="K384" s="101"/>
      <c r="L384" s="101">
        <f t="shared" si="135"/>
        <v>0</v>
      </c>
      <c r="M384" s="101"/>
      <c r="N384" s="101"/>
      <c r="O384" s="101"/>
      <c r="P384" s="101"/>
      <c r="Q384" s="97">
        <f t="shared" si="122"/>
        <v>0</v>
      </c>
      <c r="R384" s="98">
        <f t="shared" si="133"/>
        <v>715520</v>
      </c>
      <c r="S384" s="9"/>
      <c r="T384" s="9"/>
      <c r="U384" s="40"/>
    </row>
    <row r="385" spans="3:21" s="6" customFormat="1" ht="34.5" customHeight="1">
      <c r="C385" s="20" t="s">
        <v>45</v>
      </c>
      <c r="D385" s="20" t="s">
        <v>30</v>
      </c>
      <c r="E385" s="20"/>
      <c r="F385" s="33" t="s">
        <v>63</v>
      </c>
      <c r="G385" s="98">
        <f aca="true" t="shared" si="138" ref="G385:L385">G386+G392+G397+G399+G404+G411+G420+G395</f>
        <v>26524338</v>
      </c>
      <c r="H385" s="98">
        <f t="shared" si="138"/>
        <v>26524338</v>
      </c>
      <c r="I385" s="98">
        <f t="shared" si="138"/>
        <v>0</v>
      </c>
      <c r="J385" s="98">
        <f t="shared" si="138"/>
        <v>0</v>
      </c>
      <c r="K385" s="98">
        <f t="shared" si="138"/>
        <v>0</v>
      </c>
      <c r="L385" s="98">
        <f t="shared" si="138"/>
        <v>30516280</v>
      </c>
      <c r="M385" s="98">
        <f aca="true" t="shared" si="139" ref="M385:R385">M386+M392+M397+M399+M404+M411+M420+M395</f>
        <v>30516280</v>
      </c>
      <c r="N385" s="98">
        <f t="shared" si="139"/>
        <v>0</v>
      </c>
      <c r="O385" s="98">
        <f t="shared" si="139"/>
        <v>0</v>
      </c>
      <c r="P385" s="98">
        <f t="shared" si="139"/>
        <v>0</v>
      </c>
      <c r="Q385" s="98">
        <f t="shared" si="139"/>
        <v>30516280</v>
      </c>
      <c r="R385" s="98">
        <f t="shared" si="139"/>
        <v>57040618</v>
      </c>
      <c r="S385" s="9"/>
      <c r="T385" s="9"/>
      <c r="U385" s="40"/>
    </row>
    <row r="386" spans="1:21" s="5" customFormat="1" ht="31.5" customHeight="1">
      <c r="A386" s="13">
        <v>8</v>
      </c>
      <c r="B386" s="5">
        <v>41</v>
      </c>
      <c r="C386" s="25" t="s">
        <v>431</v>
      </c>
      <c r="D386" s="25" t="s">
        <v>174</v>
      </c>
      <c r="E386" s="25" t="s">
        <v>217</v>
      </c>
      <c r="F386" s="35" t="s">
        <v>322</v>
      </c>
      <c r="G386" s="97">
        <f t="shared" si="136"/>
        <v>0</v>
      </c>
      <c r="H386" s="97">
        <f>SUM(H387:H391)</f>
        <v>0</v>
      </c>
      <c r="I386" s="97">
        <f aca="true" t="shared" si="140" ref="I386:P386">SUM(I387:I391)</f>
        <v>0</v>
      </c>
      <c r="J386" s="97">
        <f t="shared" si="140"/>
        <v>0</v>
      </c>
      <c r="K386" s="97">
        <f t="shared" si="140"/>
        <v>0</v>
      </c>
      <c r="L386" s="97">
        <f aca="true" t="shared" si="141" ref="L386:L410">N386+Q386</f>
        <v>17654612</v>
      </c>
      <c r="M386" s="97">
        <f>SUM(M387:M391)</f>
        <v>17654612</v>
      </c>
      <c r="N386" s="97">
        <f t="shared" si="140"/>
        <v>0</v>
      </c>
      <c r="O386" s="97">
        <f t="shared" si="140"/>
        <v>0</v>
      </c>
      <c r="P386" s="97">
        <f t="shared" si="140"/>
        <v>0</v>
      </c>
      <c r="Q386" s="97">
        <f t="shared" si="122"/>
        <v>17654612</v>
      </c>
      <c r="R386" s="98">
        <f aca="true" t="shared" si="142" ref="R386:R421">L386+G386</f>
        <v>17654612</v>
      </c>
      <c r="S386" s="4"/>
      <c r="T386" s="4"/>
      <c r="U386" s="12"/>
    </row>
    <row r="387" spans="3:21" s="6" customFormat="1" ht="53.25" customHeight="1">
      <c r="C387" s="10"/>
      <c r="D387" s="10"/>
      <c r="E387" s="10"/>
      <c r="F387" s="36" t="s">
        <v>546</v>
      </c>
      <c r="G387" s="97">
        <f t="shared" si="136"/>
        <v>0</v>
      </c>
      <c r="H387" s="101"/>
      <c r="I387" s="101"/>
      <c r="J387" s="101"/>
      <c r="K387" s="101"/>
      <c r="L387" s="97">
        <f t="shared" si="141"/>
        <v>3347941</v>
      </c>
      <c r="M387" s="97">
        <f>1198100+2310000+1569794+49810+148261-1928024</f>
        <v>3347941</v>
      </c>
      <c r="N387" s="97"/>
      <c r="O387" s="97"/>
      <c r="P387" s="97"/>
      <c r="Q387" s="97">
        <f t="shared" si="122"/>
        <v>3347941</v>
      </c>
      <c r="R387" s="98">
        <f t="shared" si="142"/>
        <v>3347941</v>
      </c>
      <c r="S387" s="9"/>
      <c r="T387" s="9"/>
      <c r="U387" s="40"/>
    </row>
    <row r="388" spans="3:21" s="6" customFormat="1" ht="33.75" customHeight="1">
      <c r="C388" s="10"/>
      <c r="D388" s="10"/>
      <c r="E388" s="10"/>
      <c r="F388" s="38" t="s">
        <v>543</v>
      </c>
      <c r="G388" s="97">
        <f aca="true" t="shared" si="143" ref="G388:G397">H388+K388</f>
        <v>0</v>
      </c>
      <c r="H388" s="101"/>
      <c r="I388" s="101"/>
      <c r="J388" s="101"/>
      <c r="K388" s="101"/>
      <c r="L388" s="97">
        <f t="shared" si="141"/>
        <v>11408592</v>
      </c>
      <c r="M388" s="97">
        <f>991000+8639574+1491306+20000+1237743+236419-1207450</f>
        <v>11408592</v>
      </c>
      <c r="N388" s="97"/>
      <c r="O388" s="97"/>
      <c r="P388" s="97"/>
      <c r="Q388" s="97">
        <f t="shared" si="122"/>
        <v>11408592</v>
      </c>
      <c r="R388" s="98">
        <f t="shared" si="142"/>
        <v>11408592</v>
      </c>
      <c r="S388" s="9"/>
      <c r="T388" s="198"/>
      <c r="U388" s="40"/>
    </row>
    <row r="389" spans="3:21" s="6" customFormat="1" ht="55.5" customHeight="1">
      <c r="C389" s="10"/>
      <c r="D389" s="10"/>
      <c r="E389" s="10"/>
      <c r="F389" s="38" t="s">
        <v>119</v>
      </c>
      <c r="G389" s="97">
        <f t="shared" si="143"/>
        <v>0</v>
      </c>
      <c r="H389" s="101"/>
      <c r="I389" s="101"/>
      <c r="J389" s="101"/>
      <c r="K389" s="101"/>
      <c r="L389" s="97">
        <f t="shared" si="141"/>
        <v>2898079</v>
      </c>
      <c r="M389" s="97">
        <f>2960226-20000-577197+580050-45000</f>
        <v>2898079</v>
      </c>
      <c r="N389" s="97"/>
      <c r="O389" s="97"/>
      <c r="P389" s="97"/>
      <c r="Q389" s="97">
        <f t="shared" si="122"/>
        <v>2898079</v>
      </c>
      <c r="R389" s="98">
        <f t="shared" si="142"/>
        <v>2898079</v>
      </c>
      <c r="S389" s="9"/>
      <c r="T389" s="198"/>
      <c r="U389" s="40"/>
    </row>
    <row r="390" spans="3:21" s="6" customFormat="1" ht="64.5" customHeight="1" hidden="1">
      <c r="C390" s="10"/>
      <c r="D390" s="10"/>
      <c r="E390" s="10"/>
      <c r="F390" s="36" t="s">
        <v>104</v>
      </c>
      <c r="G390" s="97">
        <f t="shared" si="143"/>
        <v>0</v>
      </c>
      <c r="H390" s="101"/>
      <c r="I390" s="101"/>
      <c r="J390" s="101"/>
      <c r="K390" s="101"/>
      <c r="L390" s="101">
        <f t="shared" si="141"/>
        <v>0</v>
      </c>
      <c r="M390" s="101"/>
      <c r="N390" s="101"/>
      <c r="O390" s="101"/>
      <c r="P390" s="101"/>
      <c r="Q390" s="97">
        <f t="shared" si="122"/>
        <v>0</v>
      </c>
      <c r="R390" s="98">
        <f t="shared" si="142"/>
        <v>0</v>
      </c>
      <c r="S390" s="9"/>
      <c r="T390" s="9"/>
      <c r="U390" s="40"/>
    </row>
    <row r="391" spans="3:21" s="6" customFormat="1" ht="42" customHeight="1" hidden="1">
      <c r="C391" s="10"/>
      <c r="D391" s="10"/>
      <c r="E391" s="10"/>
      <c r="F391" s="36" t="s">
        <v>121</v>
      </c>
      <c r="G391" s="97">
        <f t="shared" si="143"/>
        <v>0</v>
      </c>
      <c r="H391" s="101"/>
      <c r="I391" s="101"/>
      <c r="J391" s="101"/>
      <c r="K391" s="101"/>
      <c r="L391" s="101">
        <f t="shared" si="141"/>
        <v>0</v>
      </c>
      <c r="M391" s="101"/>
      <c r="N391" s="101"/>
      <c r="O391" s="101"/>
      <c r="P391" s="101"/>
      <c r="Q391" s="97">
        <f t="shared" si="122"/>
        <v>0</v>
      </c>
      <c r="R391" s="98">
        <f t="shared" si="142"/>
        <v>0</v>
      </c>
      <c r="S391" s="9"/>
      <c r="T391" s="9"/>
      <c r="U391" s="40"/>
    </row>
    <row r="392" spans="2:21" s="5" customFormat="1" ht="35.25" customHeight="1">
      <c r="B392" s="5">
        <v>73</v>
      </c>
      <c r="C392" s="25" t="s">
        <v>456</v>
      </c>
      <c r="D392" s="25" t="s">
        <v>320</v>
      </c>
      <c r="E392" s="25" t="s">
        <v>217</v>
      </c>
      <c r="F392" s="35" t="s">
        <v>321</v>
      </c>
      <c r="G392" s="97">
        <f t="shared" si="143"/>
        <v>0</v>
      </c>
      <c r="H392" s="97">
        <f>H393</f>
        <v>0</v>
      </c>
      <c r="I392" s="97">
        <f>I393</f>
        <v>0</v>
      </c>
      <c r="J392" s="97">
        <f>J393</f>
        <v>0</v>
      </c>
      <c r="K392" s="97">
        <f>K393</f>
        <v>0</v>
      </c>
      <c r="L392" s="97">
        <f>N392+Q392</f>
        <v>6549438</v>
      </c>
      <c r="M392" s="97">
        <f>M393+M394</f>
        <v>6549438</v>
      </c>
      <c r="N392" s="97">
        <f>N393+N394</f>
        <v>0</v>
      </c>
      <c r="O392" s="97">
        <f>O393+O394</f>
        <v>0</v>
      </c>
      <c r="P392" s="97">
        <f>P393+P394</f>
        <v>0</v>
      </c>
      <c r="Q392" s="97">
        <f t="shared" si="122"/>
        <v>6549438</v>
      </c>
      <c r="R392" s="98">
        <f t="shared" si="142"/>
        <v>6549438</v>
      </c>
      <c r="S392" s="4"/>
      <c r="T392" s="4"/>
      <c r="U392" s="12"/>
    </row>
    <row r="393" spans="3:21" s="5" customFormat="1" ht="52.5" customHeight="1">
      <c r="C393" s="25"/>
      <c r="D393" s="25"/>
      <c r="E393" s="25"/>
      <c r="F393" s="36" t="s">
        <v>189</v>
      </c>
      <c r="G393" s="101">
        <f t="shared" si="143"/>
        <v>0</v>
      </c>
      <c r="H393" s="97"/>
      <c r="I393" s="97"/>
      <c r="J393" s="97"/>
      <c r="K393" s="97"/>
      <c r="L393" s="97">
        <f t="shared" si="141"/>
        <v>6549438</v>
      </c>
      <c r="M393" s="97">
        <f>2600000+17186700-1730412-3525000-7981850</f>
        <v>6549438</v>
      </c>
      <c r="N393" s="97"/>
      <c r="O393" s="97"/>
      <c r="P393" s="97"/>
      <c r="Q393" s="97">
        <f t="shared" si="122"/>
        <v>6549438</v>
      </c>
      <c r="R393" s="98">
        <f t="shared" si="142"/>
        <v>6549438</v>
      </c>
      <c r="S393" s="4"/>
      <c r="T393" s="9"/>
      <c r="U393" s="12"/>
    </row>
    <row r="394" spans="3:21" s="5" customFormat="1" ht="100.5" customHeight="1" hidden="1">
      <c r="C394" s="25"/>
      <c r="D394" s="25"/>
      <c r="E394" s="25"/>
      <c r="F394" s="36" t="s">
        <v>710</v>
      </c>
      <c r="G394" s="101">
        <f t="shared" si="143"/>
        <v>0</v>
      </c>
      <c r="H394" s="97"/>
      <c r="I394" s="97"/>
      <c r="J394" s="97"/>
      <c r="K394" s="97"/>
      <c r="L394" s="97">
        <f t="shared" si="141"/>
        <v>0</v>
      </c>
      <c r="M394" s="97"/>
      <c r="N394" s="97"/>
      <c r="O394" s="97"/>
      <c r="P394" s="97"/>
      <c r="Q394" s="97">
        <f t="shared" si="122"/>
        <v>0</v>
      </c>
      <c r="R394" s="98">
        <f t="shared" si="142"/>
        <v>0</v>
      </c>
      <c r="S394" s="4"/>
      <c r="T394" s="9"/>
      <c r="U394" s="12"/>
    </row>
    <row r="395" spans="3:21" s="5" customFormat="1" ht="35.25" customHeight="1">
      <c r="C395" s="25" t="s">
        <v>494</v>
      </c>
      <c r="D395" s="25" t="s">
        <v>495</v>
      </c>
      <c r="E395" s="25" t="s">
        <v>217</v>
      </c>
      <c r="F395" s="35" t="s">
        <v>500</v>
      </c>
      <c r="G395" s="101">
        <f t="shared" si="143"/>
        <v>0</v>
      </c>
      <c r="H395" s="97">
        <f>H396</f>
        <v>0</v>
      </c>
      <c r="I395" s="97">
        <f aca="true" t="shared" si="144" ref="I395:P395">I396</f>
        <v>0</v>
      </c>
      <c r="J395" s="97">
        <f t="shared" si="144"/>
        <v>0</v>
      </c>
      <c r="K395" s="97">
        <f t="shared" si="144"/>
        <v>0</v>
      </c>
      <c r="L395" s="97">
        <f t="shared" si="144"/>
        <v>1260120</v>
      </c>
      <c r="M395" s="97">
        <f t="shared" si="144"/>
        <v>1260120</v>
      </c>
      <c r="N395" s="97">
        <f t="shared" si="144"/>
        <v>0</v>
      </c>
      <c r="O395" s="97">
        <f t="shared" si="144"/>
        <v>0</v>
      </c>
      <c r="P395" s="97">
        <f t="shared" si="144"/>
        <v>0</v>
      </c>
      <c r="Q395" s="97">
        <f t="shared" si="122"/>
        <v>1260120</v>
      </c>
      <c r="R395" s="98">
        <f t="shared" si="142"/>
        <v>1260120</v>
      </c>
      <c r="S395" s="4"/>
      <c r="T395" s="4"/>
      <c r="U395" s="12"/>
    </row>
    <row r="396" spans="3:21" s="5" customFormat="1" ht="48.75" customHeight="1">
      <c r="C396" s="10"/>
      <c r="D396" s="10"/>
      <c r="E396" s="10"/>
      <c r="F396" s="36" t="s">
        <v>189</v>
      </c>
      <c r="G396" s="101">
        <f t="shared" si="143"/>
        <v>0</v>
      </c>
      <c r="H396" s="101"/>
      <c r="I396" s="101"/>
      <c r="J396" s="101"/>
      <c r="K396" s="101"/>
      <c r="L396" s="97">
        <f t="shared" si="141"/>
        <v>1260120</v>
      </c>
      <c r="M396" s="97">
        <f>1392000-27000-104880</f>
        <v>1260120</v>
      </c>
      <c r="N396" s="97"/>
      <c r="O396" s="97"/>
      <c r="P396" s="97"/>
      <c r="Q396" s="97">
        <f t="shared" si="122"/>
        <v>1260120</v>
      </c>
      <c r="R396" s="98">
        <f t="shared" si="142"/>
        <v>1260120</v>
      </c>
      <c r="S396" s="9"/>
      <c r="T396" s="9"/>
      <c r="U396" s="12"/>
    </row>
    <row r="397" spans="3:21" s="5" customFormat="1" ht="35.25" customHeight="1" hidden="1">
      <c r="C397" s="25" t="s">
        <v>464</v>
      </c>
      <c r="D397" s="25" t="s">
        <v>465</v>
      </c>
      <c r="E397" s="25" t="s">
        <v>217</v>
      </c>
      <c r="F397" s="35" t="s">
        <v>556</v>
      </c>
      <c r="G397" s="97">
        <f t="shared" si="143"/>
        <v>0</v>
      </c>
      <c r="H397" s="97">
        <f>H398</f>
        <v>0</v>
      </c>
      <c r="I397" s="97">
        <f aca="true" t="shared" si="145" ref="I397:P397">I398</f>
        <v>0</v>
      </c>
      <c r="J397" s="97">
        <f t="shared" si="145"/>
        <v>0</v>
      </c>
      <c r="K397" s="97">
        <f t="shared" si="145"/>
        <v>0</v>
      </c>
      <c r="L397" s="97">
        <f t="shared" si="141"/>
        <v>0</v>
      </c>
      <c r="M397" s="97">
        <f t="shared" si="145"/>
        <v>0</v>
      </c>
      <c r="N397" s="97">
        <f t="shared" si="145"/>
        <v>0</v>
      </c>
      <c r="O397" s="97">
        <f t="shared" si="145"/>
        <v>0</v>
      </c>
      <c r="P397" s="97">
        <f t="shared" si="145"/>
        <v>0</v>
      </c>
      <c r="Q397" s="97">
        <f t="shared" si="122"/>
        <v>0</v>
      </c>
      <c r="R397" s="98">
        <f t="shared" si="142"/>
        <v>0</v>
      </c>
      <c r="S397" s="4"/>
      <c r="T397" s="9"/>
      <c r="U397" s="12"/>
    </row>
    <row r="398" spans="3:21" s="5" customFormat="1" ht="54.75" customHeight="1" hidden="1">
      <c r="C398" s="10"/>
      <c r="D398" s="10"/>
      <c r="E398" s="10"/>
      <c r="F398" s="36" t="s">
        <v>189</v>
      </c>
      <c r="G398" s="101">
        <f>H398+K398</f>
        <v>0</v>
      </c>
      <c r="H398" s="97"/>
      <c r="I398" s="97"/>
      <c r="J398" s="97"/>
      <c r="K398" s="97"/>
      <c r="L398" s="97">
        <f t="shared" si="141"/>
        <v>0</v>
      </c>
      <c r="M398" s="97"/>
      <c r="N398" s="97"/>
      <c r="O398" s="97"/>
      <c r="P398" s="97"/>
      <c r="Q398" s="97">
        <f t="shared" si="122"/>
        <v>0</v>
      </c>
      <c r="R398" s="98">
        <f t="shared" si="142"/>
        <v>0</v>
      </c>
      <c r="S398" s="4"/>
      <c r="T398" s="9"/>
      <c r="U398" s="12"/>
    </row>
    <row r="399" spans="3:21" s="5" customFormat="1" ht="43.5" customHeight="1" hidden="1">
      <c r="C399" s="25" t="s">
        <v>466</v>
      </c>
      <c r="D399" s="25" t="s">
        <v>467</v>
      </c>
      <c r="E399" s="25" t="s">
        <v>124</v>
      </c>
      <c r="F399" s="35" t="s">
        <v>468</v>
      </c>
      <c r="G399" s="97">
        <f aca="true" t="shared" si="146" ref="G399:G406">H399+K399</f>
        <v>0</v>
      </c>
      <c r="H399" s="97">
        <f aca="true" t="shared" si="147" ref="H399:P399">H400</f>
        <v>0</v>
      </c>
      <c r="I399" s="97">
        <f t="shared" si="147"/>
        <v>0</v>
      </c>
      <c r="J399" s="97">
        <f t="shared" si="147"/>
        <v>0</v>
      </c>
      <c r="K399" s="97">
        <f t="shared" si="147"/>
        <v>0</v>
      </c>
      <c r="L399" s="97">
        <f t="shared" si="147"/>
        <v>0</v>
      </c>
      <c r="M399" s="97">
        <f t="shared" si="147"/>
        <v>0</v>
      </c>
      <c r="N399" s="97">
        <f t="shared" si="147"/>
        <v>0</v>
      </c>
      <c r="O399" s="97">
        <f t="shared" si="147"/>
        <v>0</v>
      </c>
      <c r="P399" s="97">
        <f t="shared" si="147"/>
        <v>0</v>
      </c>
      <c r="Q399" s="97">
        <f t="shared" si="122"/>
        <v>0</v>
      </c>
      <c r="R399" s="98">
        <f t="shared" si="142"/>
        <v>0</v>
      </c>
      <c r="S399" s="4"/>
      <c r="T399" s="4"/>
      <c r="U399" s="12"/>
    </row>
    <row r="400" spans="3:21" s="6" customFormat="1" ht="51.75" customHeight="1" hidden="1">
      <c r="C400" s="10"/>
      <c r="D400" s="10"/>
      <c r="E400" s="10"/>
      <c r="F400" s="36" t="s">
        <v>189</v>
      </c>
      <c r="G400" s="97">
        <f t="shared" si="146"/>
        <v>0</v>
      </c>
      <c r="H400" s="97"/>
      <c r="I400" s="101"/>
      <c r="J400" s="101"/>
      <c r="K400" s="101"/>
      <c r="L400" s="97">
        <f t="shared" si="141"/>
        <v>0</v>
      </c>
      <c r="M400" s="97">
        <f>2600000-2600000</f>
        <v>0</v>
      </c>
      <c r="N400" s="97"/>
      <c r="O400" s="97"/>
      <c r="P400" s="97"/>
      <c r="Q400" s="97">
        <f aca="true" t="shared" si="148" ref="Q400:Q424">M400</f>
        <v>0</v>
      </c>
      <c r="R400" s="98">
        <f t="shared" si="142"/>
        <v>0</v>
      </c>
      <c r="S400" s="9"/>
      <c r="T400" s="9"/>
      <c r="U400" s="40"/>
    </row>
    <row r="401" spans="3:21" s="5" customFormat="1" ht="67.5" customHeight="1">
      <c r="C401" s="25" t="s">
        <v>470</v>
      </c>
      <c r="D401" s="25" t="s">
        <v>471</v>
      </c>
      <c r="E401" s="25" t="s">
        <v>124</v>
      </c>
      <c r="F401" s="1" t="s">
        <v>472</v>
      </c>
      <c r="G401" s="97">
        <f t="shared" si="146"/>
        <v>473906</v>
      </c>
      <c r="H401" s="97">
        <f>H402+H403</f>
        <v>473906</v>
      </c>
      <c r="I401" s="97">
        <f>I402+I403</f>
        <v>0</v>
      </c>
      <c r="J401" s="97">
        <f>J402+J403</f>
        <v>0</v>
      </c>
      <c r="K401" s="97">
        <f>K402+K403</f>
        <v>0</v>
      </c>
      <c r="L401" s="97">
        <f t="shared" si="141"/>
        <v>610732</v>
      </c>
      <c r="M401" s="97">
        <f>M402+M403</f>
        <v>610732</v>
      </c>
      <c r="N401" s="97">
        <f>N402+N403</f>
        <v>0</v>
      </c>
      <c r="O401" s="97">
        <f>O402+O403</f>
        <v>0</v>
      </c>
      <c r="P401" s="97">
        <f>P402+P403</f>
        <v>0</v>
      </c>
      <c r="Q401" s="97">
        <f t="shared" si="148"/>
        <v>610732</v>
      </c>
      <c r="R401" s="98">
        <f t="shared" si="142"/>
        <v>1084638</v>
      </c>
      <c r="S401" s="4"/>
      <c r="T401" s="4"/>
      <c r="U401" s="12"/>
    </row>
    <row r="402" spans="3:21" s="6" customFormat="1" ht="60" customHeight="1">
      <c r="C402" s="10"/>
      <c r="D402" s="10"/>
      <c r="E402" s="10"/>
      <c r="F402" s="139" t="s">
        <v>711</v>
      </c>
      <c r="G402" s="97">
        <f t="shared" si="146"/>
        <v>473906</v>
      </c>
      <c r="H402" s="97">
        <v>473906</v>
      </c>
      <c r="I402" s="101"/>
      <c r="J402" s="101"/>
      <c r="K402" s="101"/>
      <c r="L402" s="97">
        <f t="shared" si="141"/>
        <v>610732</v>
      </c>
      <c r="M402" s="97">
        <v>610732</v>
      </c>
      <c r="N402" s="97"/>
      <c r="O402" s="97"/>
      <c r="P402" s="97"/>
      <c r="Q402" s="97">
        <f t="shared" si="148"/>
        <v>610732</v>
      </c>
      <c r="R402" s="98">
        <f t="shared" si="142"/>
        <v>1084638</v>
      </c>
      <c r="S402" s="9"/>
      <c r="T402" s="9"/>
      <c r="U402" s="40"/>
    </row>
    <row r="403" spans="3:21" s="6" customFormat="1" ht="121.5" customHeight="1" hidden="1">
      <c r="C403" s="10"/>
      <c r="D403" s="10"/>
      <c r="E403" s="10"/>
      <c r="F403" s="139" t="s">
        <v>2</v>
      </c>
      <c r="G403" s="101">
        <f t="shared" si="146"/>
        <v>0</v>
      </c>
      <c r="H403" s="101"/>
      <c r="I403" s="101"/>
      <c r="J403" s="101"/>
      <c r="K403" s="101"/>
      <c r="L403" s="97">
        <f t="shared" si="141"/>
        <v>0</v>
      </c>
      <c r="M403" s="97"/>
      <c r="N403" s="97"/>
      <c r="O403" s="97"/>
      <c r="P403" s="97"/>
      <c r="Q403" s="97">
        <f t="shared" si="148"/>
        <v>0</v>
      </c>
      <c r="R403" s="98">
        <f t="shared" si="142"/>
        <v>0</v>
      </c>
      <c r="S403" s="9"/>
      <c r="T403" s="9"/>
      <c r="U403" s="40"/>
    </row>
    <row r="404" spans="1:21" s="5" customFormat="1" ht="48.75" customHeight="1">
      <c r="A404" s="13">
        <v>6</v>
      </c>
      <c r="B404" s="5">
        <v>43</v>
      </c>
      <c r="C404" s="25" t="s">
        <v>457</v>
      </c>
      <c r="D404" s="25" t="s">
        <v>383</v>
      </c>
      <c r="E404" s="25" t="s">
        <v>124</v>
      </c>
      <c r="F404" s="31" t="s">
        <v>323</v>
      </c>
      <c r="G404" s="97">
        <f t="shared" si="146"/>
        <v>132572</v>
      </c>
      <c r="H404" s="151">
        <f>SUM(H405:H410)</f>
        <v>132572</v>
      </c>
      <c r="I404" s="151">
        <f>SUM(I405:I410)</f>
        <v>0</v>
      </c>
      <c r="J404" s="151">
        <f>SUM(J405:J410)</f>
        <v>0</v>
      </c>
      <c r="K404" s="151">
        <f>SUM(K405:K410)</f>
        <v>0</v>
      </c>
      <c r="L404" s="97">
        <f t="shared" si="141"/>
        <v>2214110</v>
      </c>
      <c r="M404" s="151">
        <f>SUM(M405:M410)</f>
        <v>2214110</v>
      </c>
      <c r="N404" s="151">
        <f>SUM(N405:N410)</f>
        <v>0</v>
      </c>
      <c r="O404" s="151">
        <f>SUM(O405:O410)</f>
        <v>0</v>
      </c>
      <c r="P404" s="151">
        <f>SUM(P405:P410)</f>
        <v>0</v>
      </c>
      <c r="Q404" s="97">
        <f t="shared" si="148"/>
        <v>2214110</v>
      </c>
      <c r="R404" s="98">
        <f t="shared" si="142"/>
        <v>2346682</v>
      </c>
      <c r="S404" s="56"/>
      <c r="T404" s="56"/>
      <c r="U404" s="12"/>
    </row>
    <row r="405" spans="3:20" s="6" customFormat="1" ht="46.5" customHeight="1">
      <c r="C405" s="10"/>
      <c r="D405" s="10"/>
      <c r="E405" s="10"/>
      <c r="F405" s="32" t="s">
        <v>187</v>
      </c>
      <c r="G405" s="97">
        <f t="shared" si="146"/>
        <v>89424</v>
      </c>
      <c r="H405" s="97">
        <v>89424</v>
      </c>
      <c r="I405" s="101"/>
      <c r="J405" s="101"/>
      <c r="K405" s="101"/>
      <c r="L405" s="97">
        <f t="shared" si="141"/>
        <v>2200000</v>
      </c>
      <c r="M405" s="97">
        <v>2200000</v>
      </c>
      <c r="N405" s="146"/>
      <c r="O405" s="97"/>
      <c r="P405" s="97"/>
      <c r="Q405" s="97">
        <f t="shared" si="148"/>
        <v>2200000</v>
      </c>
      <c r="R405" s="98">
        <f t="shared" si="142"/>
        <v>2289424</v>
      </c>
      <c r="S405" s="9"/>
      <c r="T405" s="9"/>
    </row>
    <row r="406" spans="3:20" s="6" customFormat="1" ht="52.5" customHeight="1" hidden="1">
      <c r="C406" s="10"/>
      <c r="D406" s="10"/>
      <c r="E406" s="10"/>
      <c r="F406" s="32" t="s">
        <v>188</v>
      </c>
      <c r="G406" s="101">
        <f t="shared" si="146"/>
        <v>0</v>
      </c>
      <c r="H406" s="101"/>
      <c r="I406" s="101"/>
      <c r="J406" s="101"/>
      <c r="K406" s="101"/>
      <c r="L406" s="101">
        <f t="shared" si="141"/>
        <v>0</v>
      </c>
      <c r="M406" s="101"/>
      <c r="N406" s="101"/>
      <c r="O406" s="101"/>
      <c r="P406" s="101"/>
      <c r="Q406" s="97">
        <f t="shared" si="148"/>
        <v>0</v>
      </c>
      <c r="R406" s="98">
        <f t="shared" si="142"/>
        <v>0</v>
      </c>
      <c r="S406" s="9"/>
      <c r="T406" s="9"/>
    </row>
    <row r="407" spans="3:20" s="6" customFormat="1" ht="42.75" customHeight="1">
      <c r="C407" s="10"/>
      <c r="D407" s="10"/>
      <c r="E407" s="10"/>
      <c r="F407" s="32" t="s">
        <v>87</v>
      </c>
      <c r="G407" s="97">
        <f aca="true" t="shared" si="149" ref="G407:G414">H407+K407</f>
        <v>37258</v>
      </c>
      <c r="H407" s="97">
        <f>14900+36798-14440</f>
        <v>37258</v>
      </c>
      <c r="I407" s="101"/>
      <c r="J407" s="101"/>
      <c r="K407" s="101"/>
      <c r="L407" s="97">
        <f t="shared" si="141"/>
        <v>0</v>
      </c>
      <c r="M407" s="101"/>
      <c r="N407" s="101"/>
      <c r="O407" s="101"/>
      <c r="P407" s="101"/>
      <c r="Q407" s="97">
        <f t="shared" si="148"/>
        <v>0</v>
      </c>
      <c r="R407" s="98">
        <f t="shared" si="142"/>
        <v>37258</v>
      </c>
      <c r="S407" s="9"/>
      <c r="T407" s="9"/>
    </row>
    <row r="408" spans="3:20" s="6" customFormat="1" ht="51" customHeight="1" hidden="1">
      <c r="C408" s="10"/>
      <c r="D408" s="10"/>
      <c r="E408" s="10"/>
      <c r="F408" s="32" t="s">
        <v>645</v>
      </c>
      <c r="G408" s="97">
        <f t="shared" si="149"/>
        <v>0</v>
      </c>
      <c r="H408" s="97">
        <f>3000-3000</f>
        <v>0</v>
      </c>
      <c r="I408" s="101"/>
      <c r="J408" s="101"/>
      <c r="K408" s="101"/>
      <c r="L408" s="97">
        <f t="shared" si="141"/>
        <v>0</v>
      </c>
      <c r="M408" s="101"/>
      <c r="N408" s="101"/>
      <c r="O408" s="101"/>
      <c r="P408" s="101"/>
      <c r="Q408" s="97">
        <f t="shared" si="148"/>
        <v>0</v>
      </c>
      <c r="R408" s="98">
        <f t="shared" si="142"/>
        <v>0</v>
      </c>
      <c r="S408" s="9"/>
      <c r="T408" s="9"/>
    </row>
    <row r="409" spans="3:20" s="6" customFormat="1" ht="42" customHeight="1">
      <c r="C409" s="10"/>
      <c r="D409" s="10"/>
      <c r="E409" s="10"/>
      <c r="F409" s="32" t="s">
        <v>483</v>
      </c>
      <c r="G409" s="97">
        <f t="shared" si="149"/>
        <v>5890</v>
      </c>
      <c r="H409" s="97">
        <f>4000+1890</f>
        <v>5890</v>
      </c>
      <c r="I409" s="101"/>
      <c r="J409" s="101"/>
      <c r="K409" s="101"/>
      <c r="L409" s="97">
        <f t="shared" si="141"/>
        <v>14110</v>
      </c>
      <c r="M409" s="97">
        <f>16000-1890</f>
        <v>14110</v>
      </c>
      <c r="N409" s="101"/>
      <c r="O409" s="101"/>
      <c r="P409" s="101"/>
      <c r="Q409" s="97">
        <f>M409</f>
        <v>14110</v>
      </c>
      <c r="R409" s="98">
        <f>L409+G409</f>
        <v>20000</v>
      </c>
      <c r="S409" s="9"/>
      <c r="T409" s="9"/>
    </row>
    <row r="410" spans="3:20" s="5" customFormat="1" ht="64.5" customHeight="1" hidden="1">
      <c r="C410" s="25"/>
      <c r="D410" s="25"/>
      <c r="E410" s="25"/>
      <c r="F410" s="32" t="s">
        <v>184</v>
      </c>
      <c r="G410" s="97">
        <f t="shared" si="149"/>
        <v>0</v>
      </c>
      <c r="H410" s="97"/>
      <c r="I410" s="97"/>
      <c r="J410" s="97"/>
      <c r="K410" s="97"/>
      <c r="L410" s="97">
        <f t="shared" si="141"/>
        <v>0</v>
      </c>
      <c r="M410" s="97"/>
      <c r="N410" s="146"/>
      <c r="O410" s="97"/>
      <c r="P410" s="97"/>
      <c r="Q410" s="97">
        <f t="shared" si="148"/>
        <v>0</v>
      </c>
      <c r="R410" s="98">
        <f t="shared" si="142"/>
        <v>0</v>
      </c>
      <c r="S410" s="9"/>
      <c r="T410" s="4"/>
    </row>
    <row r="411" spans="1:21" s="5" customFormat="1" ht="56.25" customHeight="1">
      <c r="A411" s="13"/>
      <c r="C411" s="25" t="s">
        <v>458</v>
      </c>
      <c r="D411" s="25" t="s">
        <v>385</v>
      </c>
      <c r="E411" s="25" t="s">
        <v>162</v>
      </c>
      <c r="F411" s="35" t="s">
        <v>384</v>
      </c>
      <c r="G411" s="97">
        <f t="shared" si="149"/>
        <v>3681946</v>
      </c>
      <c r="H411" s="97">
        <f>SUM(H412:H414)</f>
        <v>3681946</v>
      </c>
      <c r="I411" s="97">
        <f aca="true" t="shared" si="150" ref="I411:P411">SUM(I412:I414)</f>
        <v>0</v>
      </c>
      <c r="J411" s="97">
        <f t="shared" si="150"/>
        <v>0</v>
      </c>
      <c r="K411" s="97">
        <f t="shared" si="150"/>
        <v>0</v>
      </c>
      <c r="L411" s="97">
        <f aca="true" t="shared" si="151" ref="L411:L423">N411+Q411</f>
        <v>2838000</v>
      </c>
      <c r="M411" s="97">
        <f t="shared" si="150"/>
        <v>2838000</v>
      </c>
      <c r="N411" s="97">
        <f t="shared" si="150"/>
        <v>0</v>
      </c>
      <c r="O411" s="97">
        <f t="shared" si="150"/>
        <v>0</v>
      </c>
      <c r="P411" s="97">
        <f t="shared" si="150"/>
        <v>0</v>
      </c>
      <c r="Q411" s="97">
        <f t="shared" si="148"/>
        <v>2838000</v>
      </c>
      <c r="R411" s="98">
        <f t="shared" si="142"/>
        <v>6519946</v>
      </c>
      <c r="S411" s="4"/>
      <c r="T411" s="4"/>
      <c r="U411" s="12"/>
    </row>
    <row r="412" spans="1:21" s="6" customFormat="1" ht="45.75" customHeight="1">
      <c r="A412" s="29"/>
      <c r="C412" s="10"/>
      <c r="D412" s="10"/>
      <c r="E412" s="10"/>
      <c r="F412" s="36" t="s">
        <v>490</v>
      </c>
      <c r="G412" s="97">
        <f t="shared" si="149"/>
        <v>3681946</v>
      </c>
      <c r="H412" s="97">
        <f>3357800+521173-18917-178110</f>
        <v>3681946</v>
      </c>
      <c r="I412" s="101"/>
      <c r="J412" s="101"/>
      <c r="K412" s="101"/>
      <c r="L412" s="97">
        <f t="shared" si="151"/>
        <v>2736000</v>
      </c>
      <c r="M412" s="97">
        <f>5000000-430000-1834000</f>
        <v>2736000</v>
      </c>
      <c r="N412" s="97"/>
      <c r="O412" s="97"/>
      <c r="P412" s="97"/>
      <c r="Q412" s="97">
        <f t="shared" si="148"/>
        <v>2736000</v>
      </c>
      <c r="R412" s="98">
        <f t="shared" si="142"/>
        <v>6417946</v>
      </c>
      <c r="S412" s="9"/>
      <c r="T412" s="9"/>
      <c r="U412" s="40"/>
    </row>
    <row r="413" spans="1:21" s="6" customFormat="1" ht="39.75" customHeight="1">
      <c r="A413" s="29"/>
      <c r="C413" s="10"/>
      <c r="D413" s="10"/>
      <c r="E413" s="10"/>
      <c r="F413" s="36" t="s">
        <v>483</v>
      </c>
      <c r="G413" s="97">
        <f t="shared" si="149"/>
        <v>0</v>
      </c>
      <c r="H413" s="97"/>
      <c r="I413" s="101"/>
      <c r="J413" s="101"/>
      <c r="K413" s="101"/>
      <c r="L413" s="97">
        <f t="shared" si="151"/>
        <v>102000</v>
      </c>
      <c r="M413" s="97">
        <f>92000+10000</f>
        <v>102000</v>
      </c>
      <c r="N413" s="97"/>
      <c r="O413" s="97"/>
      <c r="P413" s="97"/>
      <c r="Q413" s="97">
        <f>M413</f>
        <v>102000</v>
      </c>
      <c r="R413" s="98">
        <f>L413+G413</f>
        <v>102000</v>
      </c>
      <c r="S413" s="9"/>
      <c r="T413" s="9"/>
      <c r="U413" s="40"/>
    </row>
    <row r="414" spans="1:21" s="6" customFormat="1" ht="54.75" customHeight="1">
      <c r="A414" s="29"/>
      <c r="C414" s="10"/>
      <c r="D414" s="10"/>
      <c r="E414" s="10"/>
      <c r="F414" s="36" t="s">
        <v>114</v>
      </c>
      <c r="G414" s="101">
        <f t="shared" si="149"/>
        <v>0</v>
      </c>
      <c r="H414" s="101"/>
      <c r="I414" s="101"/>
      <c r="J414" s="101"/>
      <c r="K414" s="101"/>
      <c r="L414" s="97">
        <f t="shared" si="151"/>
        <v>0</v>
      </c>
      <c r="M414" s="101"/>
      <c r="N414" s="101"/>
      <c r="O414" s="101"/>
      <c r="P414" s="101"/>
      <c r="Q414" s="97">
        <f t="shared" si="148"/>
        <v>0</v>
      </c>
      <c r="R414" s="98">
        <f t="shared" si="142"/>
        <v>0</v>
      </c>
      <c r="S414" s="9"/>
      <c r="T414" s="9"/>
      <c r="U414" s="40"/>
    </row>
    <row r="415" spans="1:21" s="6" customFormat="1" ht="54.75" customHeight="1">
      <c r="A415" s="29"/>
      <c r="C415" s="25" t="s">
        <v>13</v>
      </c>
      <c r="D415" s="25" t="s">
        <v>14</v>
      </c>
      <c r="E415" s="25" t="s">
        <v>162</v>
      </c>
      <c r="F415" s="35" t="s">
        <v>712</v>
      </c>
      <c r="G415" s="101"/>
      <c r="H415" s="101"/>
      <c r="I415" s="101"/>
      <c r="J415" s="101"/>
      <c r="K415" s="101"/>
      <c r="L415" s="97">
        <f t="shared" si="151"/>
        <v>3560000</v>
      </c>
      <c r="M415" s="97"/>
      <c r="N415" s="97"/>
      <c r="O415" s="97"/>
      <c r="P415" s="97"/>
      <c r="Q415" s="97">
        <v>3560000</v>
      </c>
      <c r="R415" s="98">
        <f t="shared" si="142"/>
        <v>3560000</v>
      </c>
      <c r="S415" s="9"/>
      <c r="T415" s="9"/>
      <c r="U415" s="40"/>
    </row>
    <row r="416" spans="3:21" s="5" customFormat="1" ht="101.25" customHeight="1">
      <c r="C416" s="25" t="s">
        <v>504</v>
      </c>
      <c r="D416" s="25" t="s">
        <v>378</v>
      </c>
      <c r="E416" s="25" t="s">
        <v>124</v>
      </c>
      <c r="F416" s="34" t="s">
        <v>379</v>
      </c>
      <c r="G416" s="97">
        <f aca="true" t="shared" si="152" ref="G416:G425">H416+K416</f>
        <v>0</v>
      </c>
      <c r="H416" s="97">
        <f>H417+H419</f>
        <v>0</v>
      </c>
      <c r="I416" s="97">
        <f>I417+I419</f>
        <v>0</v>
      </c>
      <c r="J416" s="97">
        <f>J417+J419</f>
        <v>0</v>
      </c>
      <c r="K416" s="97">
        <f>K417+K419</f>
        <v>0</v>
      </c>
      <c r="L416" s="97">
        <f>N416+Q416</f>
        <v>8827</v>
      </c>
      <c r="M416" s="97">
        <f>M417+M419</f>
        <v>0</v>
      </c>
      <c r="N416" s="97">
        <f>SUM(N417:N419)</f>
        <v>8827</v>
      </c>
      <c r="O416" s="97">
        <f>O417+O419</f>
        <v>0</v>
      </c>
      <c r="P416" s="97">
        <f>P417+P419</f>
        <v>0</v>
      </c>
      <c r="Q416" s="97">
        <f t="shared" si="148"/>
        <v>0</v>
      </c>
      <c r="R416" s="98">
        <f t="shared" si="142"/>
        <v>8827</v>
      </c>
      <c r="S416" s="4"/>
      <c r="T416" s="4"/>
      <c r="U416" s="12"/>
    </row>
    <row r="417" spans="3:21" s="6" customFormat="1" ht="6" customHeight="1" hidden="1">
      <c r="C417" s="10"/>
      <c r="D417" s="10"/>
      <c r="E417" s="10"/>
      <c r="F417" s="26" t="s">
        <v>182</v>
      </c>
      <c r="G417" s="101">
        <f t="shared" si="152"/>
        <v>0</v>
      </c>
      <c r="H417" s="101"/>
      <c r="I417" s="101"/>
      <c r="J417" s="101"/>
      <c r="K417" s="101"/>
      <c r="L417" s="97">
        <f t="shared" si="151"/>
        <v>0</v>
      </c>
      <c r="M417" s="97"/>
      <c r="N417" s="97"/>
      <c r="O417" s="97"/>
      <c r="P417" s="97"/>
      <c r="Q417" s="97">
        <f t="shared" si="148"/>
        <v>0</v>
      </c>
      <c r="R417" s="98">
        <f t="shared" si="142"/>
        <v>0</v>
      </c>
      <c r="S417" s="9"/>
      <c r="T417" s="9"/>
      <c r="U417" s="40"/>
    </row>
    <row r="418" spans="3:21" s="6" customFormat="1" ht="39" customHeight="1">
      <c r="C418" s="10"/>
      <c r="D418" s="10"/>
      <c r="E418" s="10"/>
      <c r="F418" s="26" t="s">
        <v>490</v>
      </c>
      <c r="G418" s="101">
        <f t="shared" si="152"/>
        <v>0</v>
      </c>
      <c r="H418" s="101"/>
      <c r="I418" s="101"/>
      <c r="J418" s="101"/>
      <c r="K418" s="101"/>
      <c r="L418" s="97">
        <f t="shared" si="151"/>
        <v>8827</v>
      </c>
      <c r="M418" s="97"/>
      <c r="N418" s="97">
        <v>8827</v>
      </c>
      <c r="O418" s="97"/>
      <c r="P418" s="97"/>
      <c r="Q418" s="97">
        <f>M418</f>
        <v>0</v>
      </c>
      <c r="R418" s="98">
        <f>L418+G418</f>
        <v>8827</v>
      </c>
      <c r="S418" s="9"/>
      <c r="T418" s="9"/>
      <c r="U418" s="40"/>
    </row>
    <row r="419" spans="3:21" s="5" customFormat="1" ht="12" customHeight="1" hidden="1">
      <c r="C419" s="10"/>
      <c r="D419" s="10"/>
      <c r="E419" s="10"/>
      <c r="F419" s="26" t="s">
        <v>186</v>
      </c>
      <c r="G419" s="101">
        <f t="shared" si="152"/>
        <v>0</v>
      </c>
      <c r="H419" s="97"/>
      <c r="I419" s="97"/>
      <c r="J419" s="97"/>
      <c r="K419" s="97"/>
      <c r="L419" s="101">
        <f t="shared" si="151"/>
        <v>0</v>
      </c>
      <c r="M419" s="101"/>
      <c r="N419" s="97"/>
      <c r="O419" s="97"/>
      <c r="P419" s="97"/>
      <c r="Q419" s="97">
        <f t="shared" si="148"/>
        <v>0</v>
      </c>
      <c r="R419" s="98">
        <f t="shared" si="142"/>
        <v>0</v>
      </c>
      <c r="S419" s="4"/>
      <c r="T419" s="4"/>
      <c r="U419" s="12"/>
    </row>
    <row r="420" spans="3:21" s="5" customFormat="1" ht="31.5" customHeight="1">
      <c r="C420" s="25" t="s">
        <v>398</v>
      </c>
      <c r="D420" s="25" t="s">
        <v>386</v>
      </c>
      <c r="E420" s="25" t="s">
        <v>124</v>
      </c>
      <c r="F420" s="34" t="s">
        <v>387</v>
      </c>
      <c r="G420" s="97">
        <f t="shared" si="152"/>
        <v>22709820</v>
      </c>
      <c r="H420" s="97">
        <f>H421</f>
        <v>22709820</v>
      </c>
      <c r="I420" s="97">
        <f aca="true" t="shared" si="153" ref="I420:P420">I421</f>
        <v>0</v>
      </c>
      <c r="J420" s="97">
        <f t="shared" si="153"/>
        <v>0</v>
      </c>
      <c r="K420" s="97">
        <f t="shared" si="153"/>
        <v>0</v>
      </c>
      <c r="L420" s="97">
        <f t="shared" si="151"/>
        <v>0</v>
      </c>
      <c r="M420" s="97">
        <f t="shared" si="153"/>
        <v>0</v>
      </c>
      <c r="N420" s="97">
        <f t="shared" si="153"/>
        <v>0</v>
      </c>
      <c r="O420" s="97">
        <f t="shared" si="153"/>
        <v>0</v>
      </c>
      <c r="P420" s="97">
        <f t="shared" si="153"/>
        <v>0</v>
      </c>
      <c r="Q420" s="97">
        <f t="shared" si="148"/>
        <v>0</v>
      </c>
      <c r="R420" s="98">
        <f t="shared" si="142"/>
        <v>22709820</v>
      </c>
      <c r="S420" s="4"/>
      <c r="T420" s="4"/>
      <c r="U420" s="12"/>
    </row>
    <row r="421" spans="3:21" s="6" customFormat="1" ht="63.75" customHeight="1">
      <c r="C421" s="10"/>
      <c r="D421" s="10"/>
      <c r="E421" s="10"/>
      <c r="F421" s="26" t="s">
        <v>182</v>
      </c>
      <c r="G421" s="97">
        <f t="shared" si="152"/>
        <v>22709820</v>
      </c>
      <c r="H421" s="97">
        <f>5093000+4514472+3267848+3834500+6000000</f>
        <v>22709820</v>
      </c>
      <c r="I421" s="101"/>
      <c r="J421" s="101"/>
      <c r="K421" s="101"/>
      <c r="L421" s="97">
        <f t="shared" si="151"/>
        <v>0</v>
      </c>
      <c r="M421" s="101"/>
      <c r="N421" s="101"/>
      <c r="O421" s="101"/>
      <c r="P421" s="101"/>
      <c r="Q421" s="97">
        <f t="shared" si="148"/>
        <v>0</v>
      </c>
      <c r="R421" s="98">
        <f t="shared" si="142"/>
        <v>22709820</v>
      </c>
      <c r="S421" s="9"/>
      <c r="T421" s="9"/>
      <c r="U421" s="40"/>
    </row>
    <row r="422" spans="3:21" s="6" customFormat="1" ht="35.25" customHeight="1">
      <c r="C422" s="20" t="s">
        <v>46</v>
      </c>
      <c r="D422" s="20" t="s">
        <v>47</v>
      </c>
      <c r="E422" s="20"/>
      <c r="F422" s="22" t="s">
        <v>48</v>
      </c>
      <c r="G422" s="97"/>
      <c r="H422" s="97"/>
      <c r="I422" s="101"/>
      <c r="J422" s="101"/>
      <c r="K422" s="101"/>
      <c r="L422" s="97"/>
      <c r="M422" s="101"/>
      <c r="N422" s="101"/>
      <c r="O422" s="101"/>
      <c r="P422" s="101"/>
      <c r="Q422" s="97">
        <f t="shared" si="148"/>
        <v>0</v>
      </c>
      <c r="R422" s="98"/>
      <c r="S422" s="9"/>
      <c r="T422" s="9"/>
      <c r="U422" s="40"/>
    </row>
    <row r="423" spans="3:21" s="6" customFormat="1" ht="54.75" customHeight="1">
      <c r="C423" s="25" t="s">
        <v>16</v>
      </c>
      <c r="D423" s="25" t="s">
        <v>324</v>
      </c>
      <c r="E423" s="25" t="s">
        <v>172</v>
      </c>
      <c r="F423" s="100" t="s">
        <v>17</v>
      </c>
      <c r="G423" s="97">
        <f t="shared" si="152"/>
        <v>55880</v>
      </c>
      <c r="H423" s="97">
        <f>H424</f>
        <v>55880</v>
      </c>
      <c r="I423" s="97">
        <f aca="true" t="shared" si="154" ref="I423:P423">I424</f>
        <v>0</v>
      </c>
      <c r="J423" s="97">
        <f t="shared" si="154"/>
        <v>0</v>
      </c>
      <c r="K423" s="97">
        <f t="shared" si="154"/>
        <v>0</v>
      </c>
      <c r="L423" s="97">
        <f t="shared" si="151"/>
        <v>0</v>
      </c>
      <c r="M423" s="97">
        <f t="shared" si="154"/>
        <v>0</v>
      </c>
      <c r="N423" s="97">
        <f t="shared" si="154"/>
        <v>0</v>
      </c>
      <c r="O423" s="97">
        <f t="shared" si="154"/>
        <v>0</v>
      </c>
      <c r="P423" s="97">
        <f t="shared" si="154"/>
        <v>0</v>
      </c>
      <c r="Q423" s="97">
        <f t="shared" si="148"/>
        <v>0</v>
      </c>
      <c r="R423" s="98">
        <f>L423+G423</f>
        <v>55880</v>
      </c>
      <c r="S423" s="9"/>
      <c r="T423" s="9"/>
      <c r="U423" s="40"/>
    </row>
    <row r="424" spans="3:21" s="6" customFormat="1" ht="60.75" customHeight="1">
      <c r="C424" s="122"/>
      <c r="D424" s="122"/>
      <c r="E424" s="122"/>
      <c r="F424" s="26" t="s">
        <v>18</v>
      </c>
      <c r="G424" s="97">
        <f t="shared" si="152"/>
        <v>55880</v>
      </c>
      <c r="H424" s="97">
        <f>176528-17848-102800</f>
        <v>55880</v>
      </c>
      <c r="I424" s="101"/>
      <c r="J424" s="101"/>
      <c r="K424" s="101"/>
      <c r="L424" s="97">
        <f>N424+Q424</f>
        <v>0</v>
      </c>
      <c r="M424" s="97"/>
      <c r="N424" s="101"/>
      <c r="O424" s="101"/>
      <c r="P424" s="101"/>
      <c r="Q424" s="97">
        <f t="shared" si="148"/>
        <v>0</v>
      </c>
      <c r="R424" s="98">
        <f>L424+G424</f>
        <v>55880</v>
      </c>
      <c r="S424" s="9"/>
      <c r="T424" s="9"/>
      <c r="U424" s="40"/>
    </row>
    <row r="425" spans="3:21" s="5" customFormat="1" ht="39" customHeight="1" hidden="1">
      <c r="C425" s="25" t="s">
        <v>442</v>
      </c>
      <c r="D425" s="25" t="s">
        <v>420</v>
      </c>
      <c r="E425" s="25" t="s">
        <v>421</v>
      </c>
      <c r="F425" s="31" t="s">
        <v>443</v>
      </c>
      <c r="G425" s="101">
        <f t="shared" si="152"/>
        <v>0</v>
      </c>
      <c r="H425" s="97">
        <f aca="true" t="shared" si="155" ref="H425:M425">SUM(H426)</f>
        <v>0</v>
      </c>
      <c r="I425" s="97">
        <f t="shared" si="155"/>
        <v>0</v>
      </c>
      <c r="J425" s="97">
        <f t="shared" si="155"/>
        <v>0</v>
      </c>
      <c r="K425" s="97">
        <f t="shared" si="155"/>
        <v>0</v>
      </c>
      <c r="L425" s="97">
        <f t="shared" si="155"/>
        <v>0</v>
      </c>
      <c r="M425" s="97">
        <f t="shared" si="155"/>
        <v>0</v>
      </c>
      <c r="N425" s="97">
        <f>SUM(N426)</f>
        <v>0</v>
      </c>
      <c r="O425" s="97">
        <f>SUM(O426)</f>
        <v>0</v>
      </c>
      <c r="P425" s="97">
        <f>SUM(P426)</f>
        <v>0</v>
      </c>
      <c r="Q425" s="97">
        <f>SUM(Q426)</f>
        <v>0</v>
      </c>
      <c r="R425" s="98">
        <f>L425+G425</f>
        <v>0</v>
      </c>
      <c r="S425" s="4"/>
      <c r="T425" s="4"/>
      <c r="U425" s="12"/>
    </row>
    <row r="426" spans="3:21" s="6" customFormat="1" ht="54" customHeight="1" hidden="1">
      <c r="C426" s="10"/>
      <c r="D426" s="10"/>
      <c r="E426" s="10"/>
      <c r="F426" s="32" t="s">
        <v>187</v>
      </c>
      <c r="G426" s="101">
        <f>H426+K426</f>
        <v>0</v>
      </c>
      <c r="H426" s="101"/>
      <c r="I426" s="101"/>
      <c r="J426" s="101"/>
      <c r="K426" s="101"/>
      <c r="L426" s="101">
        <f>N426+Q426</f>
        <v>0</v>
      </c>
      <c r="M426" s="101"/>
      <c r="N426" s="101"/>
      <c r="O426" s="101"/>
      <c r="P426" s="101"/>
      <c r="Q426" s="101"/>
      <c r="R426" s="98">
        <f>L426+G426</f>
        <v>0</v>
      </c>
      <c r="S426" s="9"/>
      <c r="T426" s="9"/>
      <c r="U426" s="40"/>
    </row>
    <row r="427" spans="3:22" s="13" customFormat="1" ht="32.25" customHeight="1">
      <c r="C427" s="20"/>
      <c r="D427" s="20"/>
      <c r="E427" s="20"/>
      <c r="F427" s="22" t="s">
        <v>100</v>
      </c>
      <c r="G427" s="98">
        <f aca="true" t="shared" si="156" ref="G427:R427">G331+G334+G343+G386+G392+G395+G399+G401+G397+G404+G411++G415+G416+G420+G425+G340+G423</f>
        <v>68089734.55</v>
      </c>
      <c r="H427" s="98">
        <f t="shared" si="156"/>
        <v>68089734.55</v>
      </c>
      <c r="I427" s="98">
        <f t="shared" si="156"/>
        <v>4699805</v>
      </c>
      <c r="J427" s="98">
        <f t="shared" si="156"/>
        <v>77500</v>
      </c>
      <c r="K427" s="98">
        <f t="shared" si="156"/>
        <v>0</v>
      </c>
      <c r="L427" s="98">
        <f t="shared" si="156"/>
        <v>36419267</v>
      </c>
      <c r="M427" s="98">
        <f>M331+M334+M343+M386+M392+M395+M399+M401+M397+M404+M411++M415+M416+M420+M425+M340+M423</f>
        <v>32850440</v>
      </c>
      <c r="N427" s="98">
        <f t="shared" si="156"/>
        <v>8827</v>
      </c>
      <c r="O427" s="98">
        <f t="shared" si="156"/>
        <v>0</v>
      </c>
      <c r="P427" s="98">
        <f t="shared" si="156"/>
        <v>0</v>
      </c>
      <c r="Q427" s="98">
        <f t="shared" si="156"/>
        <v>36410440</v>
      </c>
      <c r="R427" s="98">
        <f t="shared" si="156"/>
        <v>104509001.55</v>
      </c>
      <c r="S427" s="66"/>
      <c r="T427" s="23"/>
      <c r="U427" s="12"/>
      <c r="V427" s="24"/>
    </row>
    <row r="428" spans="3:22" s="13" customFormat="1" ht="55.5" customHeight="1">
      <c r="C428" s="57">
        <v>2800000</v>
      </c>
      <c r="D428" s="20"/>
      <c r="E428" s="20"/>
      <c r="F428" s="33" t="s">
        <v>49</v>
      </c>
      <c r="G428" s="98"/>
      <c r="H428" s="98"/>
      <c r="I428" s="98"/>
      <c r="J428" s="98"/>
      <c r="K428" s="98"/>
      <c r="L428" s="98"/>
      <c r="M428" s="98"/>
      <c r="N428" s="98"/>
      <c r="O428" s="98"/>
      <c r="P428" s="98"/>
      <c r="Q428" s="98"/>
      <c r="R428" s="98"/>
      <c r="S428" s="23"/>
      <c r="T428" s="23"/>
      <c r="U428" s="24"/>
      <c r="V428" s="24"/>
    </row>
    <row r="429" spans="3:22" s="29" customFormat="1" ht="54" customHeight="1">
      <c r="C429" s="123">
        <v>2810000</v>
      </c>
      <c r="D429" s="21"/>
      <c r="E429" s="21"/>
      <c r="F429" s="35" t="s">
        <v>49</v>
      </c>
      <c r="G429" s="147"/>
      <c r="H429" s="147"/>
      <c r="I429" s="147"/>
      <c r="J429" s="147"/>
      <c r="K429" s="147"/>
      <c r="L429" s="147"/>
      <c r="M429" s="147"/>
      <c r="N429" s="147"/>
      <c r="O429" s="147"/>
      <c r="P429" s="147"/>
      <c r="Q429" s="147"/>
      <c r="R429" s="147"/>
      <c r="S429" s="47"/>
      <c r="T429" s="47"/>
      <c r="U429" s="62"/>
      <c r="V429" s="62"/>
    </row>
    <row r="430" spans="3:22" s="29" customFormat="1" ht="26.25" customHeight="1">
      <c r="C430" s="57">
        <v>2810100</v>
      </c>
      <c r="D430" s="20" t="s">
        <v>22</v>
      </c>
      <c r="E430" s="20"/>
      <c r="F430" s="33" t="s">
        <v>23</v>
      </c>
      <c r="G430" s="98">
        <f>G431</f>
        <v>2414950</v>
      </c>
      <c r="H430" s="98">
        <f aca="true" t="shared" si="157" ref="H430:R430">H431</f>
        <v>2414950</v>
      </c>
      <c r="I430" s="98">
        <f t="shared" si="157"/>
        <v>1678000</v>
      </c>
      <c r="J430" s="98">
        <f t="shared" si="157"/>
        <v>10000</v>
      </c>
      <c r="K430" s="98">
        <f t="shared" si="157"/>
        <v>0</v>
      </c>
      <c r="L430" s="98">
        <f t="shared" si="157"/>
        <v>0</v>
      </c>
      <c r="M430" s="98">
        <f t="shared" si="157"/>
        <v>0</v>
      </c>
      <c r="N430" s="98">
        <f t="shared" si="157"/>
        <v>0</v>
      </c>
      <c r="O430" s="98">
        <f t="shared" si="157"/>
        <v>0</v>
      </c>
      <c r="P430" s="98">
        <f t="shared" si="157"/>
        <v>0</v>
      </c>
      <c r="Q430" s="98">
        <f t="shared" si="157"/>
        <v>0</v>
      </c>
      <c r="R430" s="98">
        <f t="shared" si="157"/>
        <v>2414950</v>
      </c>
      <c r="S430" s="47"/>
      <c r="T430" s="47"/>
      <c r="U430" s="62"/>
      <c r="V430" s="62"/>
    </row>
    <row r="431" spans="1:20" s="5" customFormat="1" ht="51" customHeight="1">
      <c r="A431" s="5">
        <v>8</v>
      </c>
      <c r="B431" s="5">
        <v>57</v>
      </c>
      <c r="C431" s="25" t="s">
        <v>209</v>
      </c>
      <c r="D431" s="25" t="s">
        <v>126</v>
      </c>
      <c r="E431" s="25" t="s">
        <v>123</v>
      </c>
      <c r="F431" s="34" t="s">
        <v>205</v>
      </c>
      <c r="G431" s="97">
        <f aca="true" t="shared" si="158" ref="G431:G436">H431+K431</f>
        <v>2414950</v>
      </c>
      <c r="H431" s="97">
        <f>SUM(H432:H433)</f>
        <v>2414950</v>
      </c>
      <c r="I431" s="97">
        <f aca="true" t="shared" si="159" ref="I431:P431">SUM(I432:I433)</f>
        <v>1678000</v>
      </c>
      <c r="J431" s="97">
        <f t="shared" si="159"/>
        <v>10000</v>
      </c>
      <c r="K431" s="97">
        <f t="shared" si="159"/>
        <v>0</v>
      </c>
      <c r="L431" s="97">
        <f t="shared" si="159"/>
        <v>0</v>
      </c>
      <c r="M431" s="97">
        <f t="shared" si="159"/>
        <v>0</v>
      </c>
      <c r="N431" s="97">
        <f t="shared" si="159"/>
        <v>0</v>
      </c>
      <c r="O431" s="97">
        <f t="shared" si="159"/>
        <v>0</v>
      </c>
      <c r="P431" s="97">
        <f t="shared" si="159"/>
        <v>0</v>
      </c>
      <c r="Q431" s="97">
        <f aca="true" t="shared" si="160" ref="Q431:Q443">M431</f>
        <v>0</v>
      </c>
      <c r="R431" s="98">
        <f aca="true" t="shared" si="161" ref="R431:R436">L431+G431</f>
        <v>2414950</v>
      </c>
      <c r="S431" s="4"/>
      <c r="T431" s="4"/>
    </row>
    <row r="432" spans="3:20" s="5" customFormat="1" ht="48.75" customHeight="1">
      <c r="C432" s="25"/>
      <c r="D432" s="25"/>
      <c r="E432" s="25"/>
      <c r="F432" s="26" t="s">
        <v>609</v>
      </c>
      <c r="G432" s="97">
        <f t="shared" si="158"/>
        <v>2409950</v>
      </c>
      <c r="H432" s="97">
        <f>2115100+34500+173400+86950</f>
        <v>2409950</v>
      </c>
      <c r="I432" s="97">
        <f>1630000+48000</f>
        <v>1678000</v>
      </c>
      <c r="J432" s="97">
        <f>15500-5500</f>
        <v>10000</v>
      </c>
      <c r="K432" s="97"/>
      <c r="L432" s="97">
        <f>N432+Q432</f>
        <v>0</v>
      </c>
      <c r="M432" s="97"/>
      <c r="N432" s="97"/>
      <c r="O432" s="97"/>
      <c r="P432" s="97"/>
      <c r="Q432" s="97">
        <f>M432</f>
        <v>0</v>
      </c>
      <c r="R432" s="98">
        <f t="shared" si="161"/>
        <v>2409950</v>
      </c>
      <c r="S432" s="4"/>
      <c r="T432" s="4"/>
    </row>
    <row r="433" spans="3:20" s="5" customFormat="1" ht="59.25" customHeight="1">
      <c r="C433" s="25"/>
      <c r="D433" s="25"/>
      <c r="E433" s="25"/>
      <c r="F433" s="26" t="s">
        <v>597</v>
      </c>
      <c r="G433" s="97">
        <f t="shared" si="158"/>
        <v>5000</v>
      </c>
      <c r="H433" s="97">
        <v>5000</v>
      </c>
      <c r="I433" s="97"/>
      <c r="J433" s="97"/>
      <c r="K433" s="97"/>
      <c r="L433" s="97">
        <f>N433+Q433</f>
        <v>0</v>
      </c>
      <c r="M433" s="97"/>
      <c r="N433" s="97"/>
      <c r="O433" s="97"/>
      <c r="P433" s="97"/>
      <c r="Q433" s="97">
        <f>M433</f>
        <v>0</v>
      </c>
      <c r="R433" s="98">
        <f t="shared" si="161"/>
        <v>5000</v>
      </c>
      <c r="S433" s="4"/>
      <c r="T433" s="4"/>
    </row>
    <row r="434" spans="3:20" s="13" customFormat="1" ht="27.75" customHeight="1" hidden="1">
      <c r="C434" s="20" t="s">
        <v>329</v>
      </c>
      <c r="D434" s="20" t="s">
        <v>325</v>
      </c>
      <c r="E434" s="20"/>
      <c r="F434" s="22" t="s">
        <v>326</v>
      </c>
      <c r="G434" s="98">
        <f t="shared" si="158"/>
        <v>0</v>
      </c>
      <c r="H434" s="98">
        <f aca="true" t="shared" si="162" ref="H434:K435">H435</f>
        <v>0</v>
      </c>
      <c r="I434" s="98">
        <f t="shared" si="162"/>
        <v>0</v>
      </c>
      <c r="J434" s="98">
        <f t="shared" si="162"/>
        <v>0</v>
      </c>
      <c r="K434" s="98">
        <f t="shared" si="162"/>
        <v>0</v>
      </c>
      <c r="L434" s="98">
        <f>N434+Q434</f>
        <v>0</v>
      </c>
      <c r="M434" s="98">
        <f aca="true" t="shared" si="163" ref="M434:P435">M435</f>
        <v>0</v>
      </c>
      <c r="N434" s="98">
        <f t="shared" si="163"/>
        <v>0</v>
      </c>
      <c r="O434" s="98">
        <f t="shared" si="163"/>
        <v>0</v>
      </c>
      <c r="P434" s="98">
        <f t="shared" si="163"/>
        <v>0</v>
      </c>
      <c r="Q434" s="97">
        <f t="shared" si="160"/>
        <v>0</v>
      </c>
      <c r="R434" s="98">
        <f t="shared" si="161"/>
        <v>0</v>
      </c>
      <c r="S434" s="23"/>
      <c r="T434" s="23"/>
    </row>
    <row r="435" spans="3:20" s="5" customFormat="1" ht="24.75" customHeight="1" hidden="1">
      <c r="C435" s="25" t="s">
        <v>331</v>
      </c>
      <c r="D435" s="25" t="s">
        <v>159</v>
      </c>
      <c r="E435" s="25" t="s">
        <v>160</v>
      </c>
      <c r="F435" s="34" t="s">
        <v>310</v>
      </c>
      <c r="G435" s="97">
        <f t="shared" si="158"/>
        <v>0</v>
      </c>
      <c r="H435" s="97">
        <f t="shared" si="162"/>
        <v>0</v>
      </c>
      <c r="I435" s="97">
        <f t="shared" si="162"/>
        <v>0</v>
      </c>
      <c r="J435" s="97">
        <f t="shared" si="162"/>
        <v>0</v>
      </c>
      <c r="K435" s="97">
        <f t="shared" si="162"/>
        <v>0</v>
      </c>
      <c r="L435" s="97">
        <f>N435+Q435</f>
        <v>0</v>
      </c>
      <c r="M435" s="97"/>
      <c r="N435" s="97">
        <f t="shared" si="163"/>
        <v>0</v>
      </c>
      <c r="O435" s="97">
        <f t="shared" si="163"/>
        <v>0</v>
      </c>
      <c r="P435" s="97">
        <f t="shared" si="163"/>
        <v>0</v>
      </c>
      <c r="Q435" s="97">
        <f t="shared" si="160"/>
        <v>0</v>
      </c>
      <c r="R435" s="98">
        <f t="shared" si="161"/>
        <v>0</v>
      </c>
      <c r="S435" s="4"/>
      <c r="T435" s="4"/>
    </row>
    <row r="436" spans="3:20" s="6" customFormat="1" ht="54" customHeight="1" hidden="1">
      <c r="C436" s="10"/>
      <c r="D436" s="10"/>
      <c r="E436" s="10"/>
      <c r="F436" s="26" t="s">
        <v>330</v>
      </c>
      <c r="G436" s="101">
        <f t="shared" si="158"/>
        <v>0</v>
      </c>
      <c r="H436" s="101"/>
      <c r="I436" s="193"/>
      <c r="J436" s="193"/>
      <c r="K436" s="193"/>
      <c r="L436" s="101">
        <f>N436+Q436</f>
        <v>0</v>
      </c>
      <c r="M436" s="101"/>
      <c r="N436" s="193"/>
      <c r="O436" s="193"/>
      <c r="P436" s="193"/>
      <c r="Q436" s="97">
        <f t="shared" si="160"/>
        <v>0</v>
      </c>
      <c r="R436" s="98">
        <f t="shared" si="161"/>
        <v>0</v>
      </c>
      <c r="S436" s="194"/>
      <c r="T436" s="9"/>
    </row>
    <row r="437" spans="3:20" s="6" customFormat="1" ht="25.5" customHeight="1">
      <c r="C437" s="20" t="s">
        <v>50</v>
      </c>
      <c r="D437" s="20" t="s">
        <v>30</v>
      </c>
      <c r="E437" s="20"/>
      <c r="F437" s="22" t="s">
        <v>63</v>
      </c>
      <c r="G437" s="98">
        <f>G438+G440</f>
        <v>220600</v>
      </c>
      <c r="H437" s="98">
        <f aca="true" t="shared" si="164" ref="H437:R437">H438+H440</f>
        <v>220600</v>
      </c>
      <c r="I437" s="98">
        <f t="shared" si="164"/>
        <v>0</v>
      </c>
      <c r="J437" s="98">
        <f t="shared" si="164"/>
        <v>0</v>
      </c>
      <c r="K437" s="98">
        <f t="shared" si="164"/>
        <v>0</v>
      </c>
      <c r="L437" s="98">
        <f t="shared" si="164"/>
        <v>0</v>
      </c>
      <c r="M437" s="98">
        <f t="shared" si="164"/>
        <v>0</v>
      </c>
      <c r="N437" s="98">
        <f t="shared" si="164"/>
        <v>0</v>
      </c>
      <c r="O437" s="98">
        <f t="shared" si="164"/>
        <v>0</v>
      </c>
      <c r="P437" s="98">
        <f t="shared" si="164"/>
        <v>0</v>
      </c>
      <c r="Q437" s="98">
        <f t="shared" si="164"/>
        <v>0</v>
      </c>
      <c r="R437" s="98">
        <f t="shared" si="164"/>
        <v>220600</v>
      </c>
      <c r="S437" s="194"/>
      <c r="T437" s="9"/>
    </row>
    <row r="438" spans="3:20" s="5" customFormat="1" ht="26.25" customHeight="1">
      <c r="C438" s="25" t="s">
        <v>332</v>
      </c>
      <c r="D438" s="25" t="s">
        <v>333</v>
      </c>
      <c r="E438" s="25" t="s">
        <v>180</v>
      </c>
      <c r="F438" s="34" t="s">
        <v>334</v>
      </c>
      <c r="G438" s="97">
        <f>H438+K438</f>
        <v>220600</v>
      </c>
      <c r="H438" s="97">
        <f>H439</f>
        <v>220600</v>
      </c>
      <c r="I438" s="97">
        <f aca="true" t="shared" si="165" ref="I438:P440">I439</f>
        <v>0</v>
      </c>
      <c r="J438" s="97">
        <f t="shared" si="165"/>
        <v>0</v>
      </c>
      <c r="K438" s="97">
        <f t="shared" si="165"/>
        <v>0</v>
      </c>
      <c r="L438" s="97">
        <f>N438+Q438</f>
        <v>0</v>
      </c>
      <c r="M438" s="97">
        <f>M439</f>
        <v>0</v>
      </c>
      <c r="N438" s="97">
        <f t="shared" si="165"/>
        <v>0</v>
      </c>
      <c r="O438" s="97">
        <f t="shared" si="165"/>
        <v>0</v>
      </c>
      <c r="P438" s="97">
        <f t="shared" si="165"/>
        <v>0</v>
      </c>
      <c r="Q438" s="97">
        <f t="shared" si="160"/>
        <v>0</v>
      </c>
      <c r="R438" s="98">
        <f aca="true" t="shared" si="166" ref="R438:R443">L438+G438</f>
        <v>220600</v>
      </c>
      <c r="S438" s="4"/>
      <c r="T438" s="4"/>
    </row>
    <row r="439" spans="3:20" s="6" customFormat="1" ht="36" customHeight="1">
      <c r="C439" s="10"/>
      <c r="D439" s="10"/>
      <c r="E439" s="10"/>
      <c r="F439" s="26" t="s">
        <v>335</v>
      </c>
      <c r="G439" s="97">
        <f>H439+K439</f>
        <v>220600</v>
      </c>
      <c r="H439" s="97">
        <f>10000+220600-10000</f>
        <v>220600</v>
      </c>
      <c r="I439" s="193"/>
      <c r="J439" s="193"/>
      <c r="K439" s="193"/>
      <c r="L439" s="97">
        <f>N439+Q439</f>
        <v>0</v>
      </c>
      <c r="M439" s="97"/>
      <c r="N439" s="193"/>
      <c r="O439" s="193"/>
      <c r="P439" s="193"/>
      <c r="Q439" s="97">
        <f t="shared" si="160"/>
        <v>0</v>
      </c>
      <c r="R439" s="98">
        <f t="shared" si="166"/>
        <v>220600</v>
      </c>
      <c r="S439" s="194"/>
      <c r="T439" s="9"/>
    </row>
    <row r="440" spans="3:20" s="5" customFormat="1" ht="47.25" customHeight="1" hidden="1">
      <c r="C440" s="25" t="s">
        <v>444</v>
      </c>
      <c r="D440" s="25" t="s">
        <v>383</v>
      </c>
      <c r="E440" s="25" t="s">
        <v>124</v>
      </c>
      <c r="F440" s="34" t="s">
        <v>323</v>
      </c>
      <c r="G440" s="97">
        <f>H440+K440</f>
        <v>0</v>
      </c>
      <c r="H440" s="97">
        <f>H441</f>
        <v>0</v>
      </c>
      <c r="I440" s="97">
        <f t="shared" si="165"/>
        <v>0</v>
      </c>
      <c r="J440" s="97">
        <f t="shared" si="165"/>
        <v>0</v>
      </c>
      <c r="K440" s="97">
        <f t="shared" si="165"/>
        <v>0</v>
      </c>
      <c r="L440" s="97">
        <f aca="true" t="shared" si="167" ref="L440:L446">N440+Q440</f>
        <v>0</v>
      </c>
      <c r="M440" s="97">
        <f>M441</f>
        <v>0</v>
      </c>
      <c r="N440" s="97">
        <f t="shared" si="165"/>
        <v>0</v>
      </c>
      <c r="O440" s="97">
        <f t="shared" si="165"/>
        <v>0</v>
      </c>
      <c r="P440" s="97">
        <f t="shared" si="165"/>
        <v>0</v>
      </c>
      <c r="Q440" s="97">
        <f t="shared" si="160"/>
        <v>0</v>
      </c>
      <c r="R440" s="98">
        <f t="shared" si="166"/>
        <v>0</v>
      </c>
      <c r="S440" s="4"/>
      <c r="T440" s="4"/>
    </row>
    <row r="441" spans="3:20" s="6" customFormat="1" ht="36.75" customHeight="1" hidden="1">
      <c r="C441" s="10"/>
      <c r="D441" s="10"/>
      <c r="E441" s="10"/>
      <c r="F441" s="26" t="s">
        <v>335</v>
      </c>
      <c r="G441" s="97">
        <f>H441+K441</f>
        <v>0</v>
      </c>
      <c r="H441" s="97">
        <f>36000-36000</f>
        <v>0</v>
      </c>
      <c r="I441" s="193"/>
      <c r="J441" s="193"/>
      <c r="K441" s="193"/>
      <c r="L441" s="97">
        <f t="shared" si="167"/>
        <v>0</v>
      </c>
      <c r="M441" s="97">
        <f>264000-264000</f>
        <v>0</v>
      </c>
      <c r="N441" s="193"/>
      <c r="O441" s="193"/>
      <c r="P441" s="193"/>
      <c r="Q441" s="97">
        <f t="shared" si="160"/>
        <v>0</v>
      </c>
      <c r="R441" s="98">
        <f t="shared" si="166"/>
        <v>0</v>
      </c>
      <c r="S441" s="194"/>
      <c r="T441" s="9"/>
    </row>
    <row r="442" spans="3:20" s="6" customFormat="1" ht="102" customHeight="1" hidden="1">
      <c r="C442" s="18" t="s">
        <v>576</v>
      </c>
      <c r="D442" s="18" t="s">
        <v>378</v>
      </c>
      <c r="E442" s="18" t="s">
        <v>124</v>
      </c>
      <c r="F442" s="35" t="s">
        <v>379</v>
      </c>
      <c r="G442" s="97"/>
      <c r="H442" s="97"/>
      <c r="I442" s="193"/>
      <c r="J442" s="193"/>
      <c r="K442" s="193"/>
      <c r="L442" s="97">
        <f t="shared" si="167"/>
        <v>0</v>
      </c>
      <c r="M442" s="149">
        <f>M443</f>
        <v>0</v>
      </c>
      <c r="N442" s="149">
        <f>N443</f>
        <v>0</v>
      </c>
      <c r="O442" s="149">
        <f>O443</f>
        <v>0</v>
      </c>
      <c r="P442" s="149">
        <f>P443</f>
        <v>0</v>
      </c>
      <c r="Q442" s="97">
        <f t="shared" si="160"/>
        <v>0</v>
      </c>
      <c r="R442" s="98">
        <f t="shared" si="166"/>
        <v>0</v>
      </c>
      <c r="S442" s="194"/>
      <c r="T442" s="9"/>
    </row>
    <row r="443" spans="3:20" s="6" customFormat="1" ht="45.75" customHeight="1" hidden="1">
      <c r="C443" s="25"/>
      <c r="D443" s="25"/>
      <c r="E443" s="25"/>
      <c r="F443" s="26" t="s">
        <v>577</v>
      </c>
      <c r="G443" s="97"/>
      <c r="H443" s="97"/>
      <c r="I443" s="193"/>
      <c r="J443" s="193"/>
      <c r="K443" s="193"/>
      <c r="L443" s="97">
        <f t="shared" si="167"/>
        <v>0</v>
      </c>
      <c r="M443" s="97"/>
      <c r="N443" s="149"/>
      <c r="O443" s="193"/>
      <c r="P443" s="193"/>
      <c r="Q443" s="97">
        <f t="shared" si="160"/>
        <v>0</v>
      </c>
      <c r="R443" s="98">
        <f t="shared" si="166"/>
        <v>0</v>
      </c>
      <c r="S443" s="194"/>
      <c r="T443" s="9"/>
    </row>
    <row r="444" spans="3:20" s="6" customFormat="1" ht="26.25" customHeight="1">
      <c r="C444" s="20" t="s">
        <v>51</v>
      </c>
      <c r="D444" s="20" t="s">
        <v>47</v>
      </c>
      <c r="E444" s="20"/>
      <c r="F444" s="22" t="s">
        <v>52</v>
      </c>
      <c r="G444" s="98">
        <f>G445</f>
        <v>0</v>
      </c>
      <c r="H444" s="98">
        <f aca="true" t="shared" si="168" ref="H444:R444">H445</f>
        <v>0</v>
      </c>
      <c r="I444" s="98">
        <f t="shared" si="168"/>
        <v>0</v>
      </c>
      <c r="J444" s="98">
        <f t="shared" si="168"/>
        <v>0</v>
      </c>
      <c r="K444" s="98">
        <f t="shared" si="168"/>
        <v>0</v>
      </c>
      <c r="L444" s="98">
        <f t="shared" si="168"/>
        <v>301000</v>
      </c>
      <c r="M444" s="98">
        <f t="shared" si="168"/>
        <v>0</v>
      </c>
      <c r="N444" s="98">
        <f t="shared" si="168"/>
        <v>70000</v>
      </c>
      <c r="O444" s="98">
        <f t="shared" si="168"/>
        <v>0</v>
      </c>
      <c r="P444" s="98">
        <f t="shared" si="168"/>
        <v>0</v>
      </c>
      <c r="Q444" s="98">
        <f t="shared" si="168"/>
        <v>231000</v>
      </c>
      <c r="R444" s="98">
        <f t="shared" si="168"/>
        <v>301000</v>
      </c>
      <c r="S444" s="194"/>
      <c r="T444" s="9"/>
    </row>
    <row r="445" spans="1:21" s="5" customFormat="1" ht="30.75" customHeight="1">
      <c r="A445" s="13"/>
      <c r="C445" s="25" t="s">
        <v>419</v>
      </c>
      <c r="D445" s="25" t="s">
        <v>420</v>
      </c>
      <c r="E445" s="25" t="s">
        <v>421</v>
      </c>
      <c r="F445" s="34" t="s">
        <v>443</v>
      </c>
      <c r="G445" s="97">
        <f>H445+K445</f>
        <v>0</v>
      </c>
      <c r="H445" s="97">
        <f>H446</f>
        <v>0</v>
      </c>
      <c r="I445" s="97">
        <f>I446</f>
        <v>0</v>
      </c>
      <c r="J445" s="97">
        <f>J446</f>
        <v>0</v>
      </c>
      <c r="K445" s="97">
        <f>K446</f>
        <v>0</v>
      </c>
      <c r="L445" s="97">
        <f t="shared" si="167"/>
        <v>301000</v>
      </c>
      <c r="M445" s="97">
        <f>M446</f>
        <v>0</v>
      </c>
      <c r="N445" s="97">
        <f>N446</f>
        <v>70000</v>
      </c>
      <c r="O445" s="97">
        <f>O446</f>
        <v>0</v>
      </c>
      <c r="P445" s="97">
        <f>P446</f>
        <v>0</v>
      </c>
      <c r="Q445" s="97">
        <f>Q446</f>
        <v>231000</v>
      </c>
      <c r="R445" s="98">
        <f>L445+G445</f>
        <v>301000</v>
      </c>
      <c r="S445" s="4"/>
      <c r="T445" s="4"/>
      <c r="U445" s="12"/>
    </row>
    <row r="446" spans="3:21" s="6" customFormat="1" ht="57" customHeight="1">
      <c r="C446" s="10"/>
      <c r="D446" s="10"/>
      <c r="E446" s="10"/>
      <c r="F446" s="26" t="s">
        <v>116</v>
      </c>
      <c r="G446" s="97">
        <f>H446+K446</f>
        <v>0</v>
      </c>
      <c r="H446" s="97"/>
      <c r="I446" s="101"/>
      <c r="J446" s="101"/>
      <c r="K446" s="101"/>
      <c r="L446" s="97">
        <f t="shared" si="167"/>
        <v>301000</v>
      </c>
      <c r="M446" s="97"/>
      <c r="N446" s="97">
        <f>30000+46000-6000</f>
        <v>70000</v>
      </c>
      <c r="O446" s="97"/>
      <c r="P446" s="97"/>
      <c r="Q446" s="97">
        <f>150000+134000-53000</f>
        <v>231000</v>
      </c>
      <c r="R446" s="98">
        <f>L446+G446</f>
        <v>301000</v>
      </c>
      <c r="S446" s="4"/>
      <c r="T446" s="9"/>
      <c r="U446" s="40"/>
    </row>
    <row r="447" spans="3:22" s="13" customFormat="1" ht="27" customHeight="1">
      <c r="C447" s="20"/>
      <c r="D447" s="20"/>
      <c r="E447" s="20"/>
      <c r="F447" s="48" t="s">
        <v>100</v>
      </c>
      <c r="G447" s="98">
        <f>G431+G434+G438+G445+G440</f>
        <v>2635550</v>
      </c>
      <c r="H447" s="98">
        <f>H431+H434+H438+H445+H440</f>
        <v>2635550</v>
      </c>
      <c r="I447" s="98">
        <f>I431+I434+I438+I445+I440</f>
        <v>1678000</v>
      </c>
      <c r="J447" s="98">
        <f>J431+J434+J438+J445+J440</f>
        <v>10000</v>
      </c>
      <c r="K447" s="98">
        <f>K431+K434+K438+K445+K440</f>
        <v>0</v>
      </c>
      <c r="L447" s="98">
        <f aca="true" t="shared" si="169" ref="L447:R447">L431+L434+L438+L445+L440+L442</f>
        <v>301000</v>
      </c>
      <c r="M447" s="98">
        <f t="shared" si="169"/>
        <v>0</v>
      </c>
      <c r="N447" s="98">
        <f t="shared" si="169"/>
        <v>70000</v>
      </c>
      <c r="O447" s="98">
        <f t="shared" si="169"/>
        <v>0</v>
      </c>
      <c r="P447" s="98">
        <f t="shared" si="169"/>
        <v>0</v>
      </c>
      <c r="Q447" s="98">
        <f>Q431+Q434+Q438+Q445+Q440+Q442</f>
        <v>231000</v>
      </c>
      <c r="R447" s="98">
        <f t="shared" si="169"/>
        <v>2936550</v>
      </c>
      <c r="S447" s="66"/>
      <c r="T447" s="23"/>
      <c r="U447" s="24"/>
      <c r="V447" s="24"/>
    </row>
    <row r="448" spans="3:21" s="13" customFormat="1" ht="59.25" customHeight="1">
      <c r="C448" s="20" t="s">
        <v>210</v>
      </c>
      <c r="D448" s="20"/>
      <c r="E448" s="20"/>
      <c r="F448" s="33" t="s">
        <v>53</v>
      </c>
      <c r="G448" s="98"/>
      <c r="H448" s="98"/>
      <c r="I448" s="98"/>
      <c r="J448" s="98"/>
      <c r="K448" s="98"/>
      <c r="L448" s="98"/>
      <c r="M448" s="98"/>
      <c r="N448" s="98"/>
      <c r="O448" s="98"/>
      <c r="P448" s="98"/>
      <c r="Q448" s="98"/>
      <c r="R448" s="98"/>
      <c r="S448" s="23"/>
      <c r="T448" s="23"/>
      <c r="U448" s="24"/>
    </row>
    <row r="449" spans="3:21" s="6" customFormat="1" ht="54.75" customHeight="1">
      <c r="C449" s="25" t="s">
        <v>211</v>
      </c>
      <c r="D449" s="10"/>
      <c r="E449" s="10"/>
      <c r="F449" s="35" t="s">
        <v>53</v>
      </c>
      <c r="G449" s="101"/>
      <c r="H449" s="101"/>
      <c r="I449" s="101"/>
      <c r="J449" s="101"/>
      <c r="K449" s="101"/>
      <c r="L449" s="101"/>
      <c r="M449" s="101"/>
      <c r="N449" s="101"/>
      <c r="O449" s="101"/>
      <c r="P449" s="101"/>
      <c r="Q449" s="101"/>
      <c r="R449" s="147"/>
      <c r="S449" s="9"/>
      <c r="T449" s="9"/>
      <c r="U449" s="40"/>
    </row>
    <row r="450" spans="3:21" s="6" customFormat="1" ht="28.5" customHeight="1">
      <c r="C450" s="20" t="s">
        <v>54</v>
      </c>
      <c r="D450" s="20" t="s">
        <v>22</v>
      </c>
      <c r="E450" s="20"/>
      <c r="F450" s="33" t="s">
        <v>23</v>
      </c>
      <c r="G450" s="98">
        <f>G451</f>
        <v>3655760</v>
      </c>
      <c r="H450" s="98">
        <f aca="true" t="shared" si="170" ref="H450:R450">H451</f>
        <v>3655760</v>
      </c>
      <c r="I450" s="98">
        <f t="shared" si="170"/>
        <v>2840366</v>
      </c>
      <c r="J450" s="98">
        <f t="shared" si="170"/>
        <v>81800</v>
      </c>
      <c r="K450" s="98">
        <f t="shared" si="170"/>
        <v>0</v>
      </c>
      <c r="L450" s="98">
        <f t="shared" si="170"/>
        <v>9400</v>
      </c>
      <c r="M450" s="98">
        <f t="shared" si="170"/>
        <v>9400</v>
      </c>
      <c r="N450" s="98">
        <f t="shared" si="170"/>
        <v>0</v>
      </c>
      <c r="O450" s="98">
        <f t="shared" si="170"/>
        <v>0</v>
      </c>
      <c r="P450" s="98">
        <f t="shared" si="170"/>
        <v>0</v>
      </c>
      <c r="Q450" s="98">
        <f t="shared" si="170"/>
        <v>9400</v>
      </c>
      <c r="R450" s="98">
        <f t="shared" si="170"/>
        <v>3665160</v>
      </c>
      <c r="S450" s="9"/>
      <c r="T450" s="9"/>
      <c r="U450" s="40"/>
    </row>
    <row r="451" spans="1:20" s="5" customFormat="1" ht="51" customHeight="1">
      <c r="A451" s="5">
        <v>8</v>
      </c>
      <c r="B451" s="5">
        <v>57</v>
      </c>
      <c r="C451" s="25" t="s">
        <v>212</v>
      </c>
      <c r="D451" s="25" t="s">
        <v>126</v>
      </c>
      <c r="E451" s="25" t="s">
        <v>123</v>
      </c>
      <c r="F451" s="34" t="s">
        <v>205</v>
      </c>
      <c r="G451" s="97">
        <f aca="true" t="shared" si="171" ref="G451:G475">H451+K451</f>
        <v>3655760</v>
      </c>
      <c r="H451" s="97">
        <f>SUM(H452:H453)</f>
        <v>3655760</v>
      </c>
      <c r="I451" s="97">
        <f aca="true" t="shared" si="172" ref="I451:P451">SUM(I452:I453)</f>
        <v>2840366</v>
      </c>
      <c r="J451" s="97">
        <f t="shared" si="172"/>
        <v>81800</v>
      </c>
      <c r="K451" s="97">
        <f t="shared" si="172"/>
        <v>0</v>
      </c>
      <c r="L451" s="97">
        <f t="shared" si="172"/>
        <v>9400</v>
      </c>
      <c r="M451" s="97">
        <f t="shared" si="172"/>
        <v>9400</v>
      </c>
      <c r="N451" s="97">
        <f t="shared" si="172"/>
        <v>0</v>
      </c>
      <c r="O451" s="97">
        <f t="shared" si="172"/>
        <v>0</v>
      </c>
      <c r="P451" s="97">
        <f t="shared" si="172"/>
        <v>0</v>
      </c>
      <c r="Q451" s="97">
        <f aca="true" t="shared" si="173" ref="Q451:Q468">M451</f>
        <v>9400</v>
      </c>
      <c r="R451" s="98">
        <f>L451+G451</f>
        <v>3665160</v>
      </c>
      <c r="S451" s="4"/>
      <c r="T451" s="4"/>
    </row>
    <row r="452" spans="3:20" s="5" customFormat="1" ht="51" customHeight="1">
      <c r="C452" s="25"/>
      <c r="D452" s="25"/>
      <c r="E452" s="25"/>
      <c r="F452" s="26" t="s">
        <v>610</v>
      </c>
      <c r="G452" s="97">
        <f>H452+K452</f>
        <v>3641760</v>
      </c>
      <c r="H452" s="97">
        <f>3285500+7000+349260</f>
        <v>3641760</v>
      </c>
      <c r="I452" s="97">
        <f>2503654+336712</f>
        <v>2840366</v>
      </c>
      <c r="J452" s="97">
        <v>81800</v>
      </c>
      <c r="K452" s="97"/>
      <c r="L452" s="97">
        <f>N452+Q452</f>
        <v>9400</v>
      </c>
      <c r="M452" s="97">
        <v>9400</v>
      </c>
      <c r="N452" s="97"/>
      <c r="O452" s="97"/>
      <c r="P452" s="97"/>
      <c r="Q452" s="97">
        <f>M452</f>
        <v>9400</v>
      </c>
      <c r="R452" s="98">
        <f>L452+G452</f>
        <v>3651160</v>
      </c>
      <c r="S452" s="4"/>
      <c r="T452" s="4"/>
    </row>
    <row r="453" spans="3:20" s="5" customFormat="1" ht="51" customHeight="1">
      <c r="C453" s="25"/>
      <c r="D453" s="25"/>
      <c r="E453" s="25"/>
      <c r="F453" s="26" t="s">
        <v>597</v>
      </c>
      <c r="G453" s="97">
        <f>H453+K453</f>
        <v>14000</v>
      </c>
      <c r="H453" s="97">
        <v>14000</v>
      </c>
      <c r="I453" s="97"/>
      <c r="J453" s="97"/>
      <c r="K453" s="97"/>
      <c r="L453" s="97">
        <f>N453+Q453</f>
        <v>0</v>
      </c>
      <c r="M453" s="97"/>
      <c r="N453" s="97"/>
      <c r="O453" s="97"/>
      <c r="P453" s="97"/>
      <c r="Q453" s="97">
        <f>M453</f>
        <v>0</v>
      </c>
      <c r="R453" s="98">
        <f>L453+G453</f>
        <v>14000</v>
      </c>
      <c r="S453" s="4"/>
      <c r="T453" s="4"/>
    </row>
    <row r="454" spans="3:20" s="5" customFormat="1" ht="51" customHeight="1">
      <c r="C454" s="20" t="s">
        <v>638</v>
      </c>
      <c r="D454" s="20" t="s">
        <v>639</v>
      </c>
      <c r="E454" s="20"/>
      <c r="F454" s="160" t="s">
        <v>640</v>
      </c>
      <c r="G454" s="98">
        <f aca="true" t="shared" si="174" ref="G454:P454">G455</f>
        <v>0</v>
      </c>
      <c r="H454" s="98">
        <f t="shared" si="174"/>
        <v>0</v>
      </c>
      <c r="I454" s="98">
        <f t="shared" si="174"/>
        <v>0</v>
      </c>
      <c r="J454" s="98">
        <f t="shared" si="174"/>
        <v>0</v>
      </c>
      <c r="K454" s="98">
        <f t="shared" si="174"/>
        <v>0</v>
      </c>
      <c r="L454" s="98">
        <f t="shared" si="174"/>
        <v>3654425</v>
      </c>
      <c r="M454" s="98">
        <f t="shared" si="174"/>
        <v>3654425</v>
      </c>
      <c r="N454" s="98">
        <f t="shared" si="174"/>
        <v>0</v>
      </c>
      <c r="O454" s="98">
        <f t="shared" si="174"/>
        <v>0</v>
      </c>
      <c r="P454" s="98">
        <f t="shared" si="174"/>
        <v>0</v>
      </c>
      <c r="Q454" s="98">
        <f>Q455</f>
        <v>3654425</v>
      </c>
      <c r="R454" s="98">
        <f>L454+G454</f>
        <v>3654425</v>
      </c>
      <c r="S454" s="4"/>
      <c r="T454" s="4"/>
    </row>
    <row r="455" spans="3:20" s="5" customFormat="1" ht="81" customHeight="1">
      <c r="C455" s="99" t="s">
        <v>641</v>
      </c>
      <c r="D455" s="99" t="s">
        <v>471</v>
      </c>
      <c r="E455" s="99" t="s">
        <v>124</v>
      </c>
      <c r="F455" s="139" t="s">
        <v>713</v>
      </c>
      <c r="G455" s="97">
        <f>H455+K455</f>
        <v>0</v>
      </c>
      <c r="H455" s="97"/>
      <c r="I455" s="97"/>
      <c r="J455" s="97"/>
      <c r="K455" s="97"/>
      <c r="L455" s="97">
        <f>N455+Q455</f>
        <v>3654425</v>
      </c>
      <c r="M455" s="97">
        <v>3654425</v>
      </c>
      <c r="N455" s="97"/>
      <c r="O455" s="97"/>
      <c r="P455" s="97"/>
      <c r="Q455" s="97">
        <f>M455</f>
        <v>3654425</v>
      </c>
      <c r="R455" s="98">
        <f>L455+G455</f>
        <v>3654425</v>
      </c>
      <c r="S455" s="4"/>
      <c r="T455" s="4"/>
    </row>
    <row r="456" spans="3:20" s="5" customFormat="1" ht="33" customHeight="1">
      <c r="C456" s="20" t="s">
        <v>55</v>
      </c>
      <c r="D456" s="20" t="s">
        <v>30</v>
      </c>
      <c r="E456" s="20"/>
      <c r="F456" s="22" t="s">
        <v>63</v>
      </c>
      <c r="G456" s="98">
        <f>G457</f>
        <v>0</v>
      </c>
      <c r="H456" s="98">
        <f aca="true" t="shared" si="175" ref="H456:R456">H457</f>
        <v>0</v>
      </c>
      <c r="I456" s="98">
        <f t="shared" si="175"/>
        <v>0</v>
      </c>
      <c r="J456" s="98">
        <f t="shared" si="175"/>
        <v>0</v>
      </c>
      <c r="K456" s="98">
        <f t="shared" si="175"/>
        <v>0</v>
      </c>
      <c r="L456" s="98">
        <f t="shared" si="175"/>
        <v>560000</v>
      </c>
      <c r="M456" s="98">
        <f t="shared" si="175"/>
        <v>560000</v>
      </c>
      <c r="N456" s="98">
        <f t="shared" si="175"/>
        <v>0</v>
      </c>
      <c r="O456" s="98">
        <f t="shared" si="175"/>
        <v>0</v>
      </c>
      <c r="P456" s="98">
        <f t="shared" si="175"/>
        <v>0</v>
      </c>
      <c r="Q456" s="98">
        <f t="shared" si="175"/>
        <v>560000</v>
      </c>
      <c r="R456" s="98">
        <f t="shared" si="175"/>
        <v>560000</v>
      </c>
      <c r="S456" s="4"/>
      <c r="T456" s="4"/>
    </row>
    <row r="457" spans="3:20" s="6" customFormat="1" ht="43.5" customHeight="1">
      <c r="C457" s="25" t="s">
        <v>469</v>
      </c>
      <c r="D457" s="25" t="s">
        <v>383</v>
      </c>
      <c r="E457" s="25" t="s">
        <v>124</v>
      </c>
      <c r="F457" s="34" t="s">
        <v>323</v>
      </c>
      <c r="G457" s="97">
        <f t="shared" si="171"/>
        <v>0</v>
      </c>
      <c r="H457" s="149">
        <f aca="true" t="shared" si="176" ref="H457:P457">H458</f>
        <v>0</v>
      </c>
      <c r="I457" s="149">
        <f t="shared" si="176"/>
        <v>0</v>
      </c>
      <c r="J457" s="149">
        <f t="shared" si="176"/>
        <v>0</v>
      </c>
      <c r="K457" s="149">
        <f t="shared" si="176"/>
        <v>0</v>
      </c>
      <c r="L457" s="97">
        <f aca="true" t="shared" si="177" ref="L457:L466">N457+Q457</f>
        <v>560000</v>
      </c>
      <c r="M457" s="149">
        <f t="shared" si="176"/>
        <v>560000</v>
      </c>
      <c r="N457" s="149">
        <f t="shared" si="176"/>
        <v>0</v>
      </c>
      <c r="O457" s="149">
        <f t="shared" si="176"/>
        <v>0</v>
      </c>
      <c r="P457" s="149">
        <f t="shared" si="176"/>
        <v>0</v>
      </c>
      <c r="Q457" s="97">
        <f t="shared" si="173"/>
        <v>560000</v>
      </c>
      <c r="R457" s="98">
        <f>L457+G457</f>
        <v>560000</v>
      </c>
      <c r="S457" s="194"/>
      <c r="T457" s="4"/>
    </row>
    <row r="458" spans="3:20" s="6" customFormat="1" ht="54.75" customHeight="1">
      <c r="C458" s="10"/>
      <c r="D458" s="10"/>
      <c r="E458" s="10"/>
      <c r="F458" s="26" t="s">
        <v>181</v>
      </c>
      <c r="G458" s="97">
        <f t="shared" si="171"/>
        <v>0</v>
      </c>
      <c r="H458" s="149"/>
      <c r="I458" s="193"/>
      <c r="J458" s="193"/>
      <c r="K458" s="193"/>
      <c r="L458" s="97">
        <f t="shared" si="177"/>
        <v>560000</v>
      </c>
      <c r="M458" s="97">
        <f>560000+1231865-1231865</f>
        <v>560000</v>
      </c>
      <c r="N458" s="149"/>
      <c r="O458" s="149"/>
      <c r="P458" s="149"/>
      <c r="Q458" s="97">
        <f t="shared" si="173"/>
        <v>560000</v>
      </c>
      <c r="R458" s="98">
        <f>L458+G458</f>
        <v>560000</v>
      </c>
      <c r="S458" s="194"/>
      <c r="T458" s="4"/>
    </row>
    <row r="459" spans="3:20" s="6" customFormat="1" ht="28.5" customHeight="1">
      <c r="C459" s="20" t="s">
        <v>56</v>
      </c>
      <c r="D459" s="20" t="s">
        <v>47</v>
      </c>
      <c r="E459" s="20"/>
      <c r="F459" s="22" t="s">
        <v>48</v>
      </c>
      <c r="G459" s="98">
        <f>G460+G464+G465</f>
        <v>2055990</v>
      </c>
      <c r="H459" s="98">
        <f aca="true" t="shared" si="178" ref="H459:R459">H460+H464+H465</f>
        <v>2055990</v>
      </c>
      <c r="I459" s="98">
        <f t="shared" si="178"/>
        <v>545950</v>
      </c>
      <c r="J459" s="98">
        <f t="shared" si="178"/>
        <v>21000</v>
      </c>
      <c r="K459" s="98">
        <f t="shared" si="178"/>
        <v>0</v>
      </c>
      <c r="L459" s="98">
        <f t="shared" si="178"/>
        <v>202121</v>
      </c>
      <c r="M459" s="98">
        <f t="shared" si="178"/>
        <v>202121</v>
      </c>
      <c r="N459" s="98">
        <f t="shared" si="178"/>
        <v>0</v>
      </c>
      <c r="O459" s="98">
        <f t="shared" si="178"/>
        <v>0</v>
      </c>
      <c r="P459" s="98">
        <f t="shared" si="178"/>
        <v>0</v>
      </c>
      <c r="Q459" s="98">
        <f t="shared" si="178"/>
        <v>202121</v>
      </c>
      <c r="R459" s="98">
        <f t="shared" si="178"/>
        <v>2258111</v>
      </c>
      <c r="S459" s="194"/>
      <c r="T459" s="4"/>
    </row>
    <row r="460" spans="1:20" s="5" customFormat="1" ht="43.5" customHeight="1">
      <c r="A460" s="13">
        <v>2</v>
      </c>
      <c r="B460" s="5">
        <v>60</v>
      </c>
      <c r="C460" s="25" t="s">
        <v>336</v>
      </c>
      <c r="D460" s="25" t="s">
        <v>324</v>
      </c>
      <c r="E460" s="25" t="s">
        <v>172</v>
      </c>
      <c r="F460" s="34" t="s">
        <v>481</v>
      </c>
      <c r="G460" s="97">
        <f t="shared" si="171"/>
        <v>725209</v>
      </c>
      <c r="H460" s="97">
        <f>SUM(H461:H463)</f>
        <v>725209</v>
      </c>
      <c r="I460" s="97">
        <f aca="true" t="shared" si="179" ref="I460:P460">SUM(I461:I463)</f>
        <v>0</v>
      </c>
      <c r="J460" s="97">
        <f t="shared" si="179"/>
        <v>0</v>
      </c>
      <c r="K460" s="97">
        <f t="shared" si="179"/>
        <v>0</v>
      </c>
      <c r="L460" s="97">
        <f t="shared" si="177"/>
        <v>166933</v>
      </c>
      <c r="M460" s="97">
        <f t="shared" si="179"/>
        <v>166933</v>
      </c>
      <c r="N460" s="97">
        <f t="shared" si="179"/>
        <v>0</v>
      </c>
      <c r="O460" s="97">
        <f t="shared" si="179"/>
        <v>0</v>
      </c>
      <c r="P460" s="97">
        <f t="shared" si="179"/>
        <v>0</v>
      </c>
      <c r="Q460" s="97">
        <f t="shared" si="173"/>
        <v>166933</v>
      </c>
      <c r="R460" s="98">
        <f aca="true" t="shared" si="180" ref="R460:R466">L460+G460</f>
        <v>892142</v>
      </c>
      <c r="S460" s="4"/>
      <c r="T460" s="4"/>
    </row>
    <row r="461" spans="1:20" s="6" customFormat="1" ht="56.25" customHeight="1">
      <c r="A461" s="29"/>
      <c r="C461" s="10"/>
      <c r="D461" s="10"/>
      <c r="E461" s="10"/>
      <c r="F461" s="26" t="s">
        <v>445</v>
      </c>
      <c r="G461" s="97">
        <f t="shared" si="171"/>
        <v>725209</v>
      </c>
      <c r="H461" s="97">
        <f>204200-15500+630167+59100+1455-154213</f>
        <v>725209</v>
      </c>
      <c r="I461" s="101"/>
      <c r="J461" s="101"/>
      <c r="K461" s="101"/>
      <c r="L461" s="97">
        <f t="shared" si="177"/>
        <v>166933</v>
      </c>
      <c r="M461" s="97">
        <f>15500+119988+17200-1455+15700</f>
        <v>166933</v>
      </c>
      <c r="N461" s="97"/>
      <c r="O461" s="97"/>
      <c r="P461" s="97"/>
      <c r="Q461" s="97">
        <f t="shared" si="173"/>
        <v>166933</v>
      </c>
      <c r="R461" s="98">
        <f t="shared" si="180"/>
        <v>892142</v>
      </c>
      <c r="S461" s="9"/>
      <c r="T461" s="9"/>
    </row>
    <row r="462" spans="1:20" s="6" customFormat="1" ht="63" customHeight="1" hidden="1">
      <c r="A462" s="29"/>
      <c r="C462" s="43"/>
      <c r="D462" s="43"/>
      <c r="E462" s="43"/>
      <c r="F462" s="26" t="s">
        <v>714</v>
      </c>
      <c r="G462" s="97">
        <f t="shared" si="171"/>
        <v>0</v>
      </c>
      <c r="H462" s="97"/>
      <c r="I462" s="101"/>
      <c r="J462" s="101"/>
      <c r="K462" s="101"/>
      <c r="L462" s="97">
        <f t="shared" si="177"/>
        <v>0</v>
      </c>
      <c r="M462" s="101"/>
      <c r="N462" s="101"/>
      <c r="O462" s="101"/>
      <c r="P462" s="101"/>
      <c r="Q462" s="97">
        <f t="shared" si="173"/>
        <v>0</v>
      </c>
      <c r="R462" s="98">
        <f t="shared" si="180"/>
        <v>0</v>
      </c>
      <c r="S462" s="9"/>
      <c r="T462" s="9"/>
    </row>
    <row r="463" spans="1:20" s="6" customFormat="1" ht="72.75" customHeight="1" hidden="1">
      <c r="A463" s="29"/>
      <c r="C463" s="43"/>
      <c r="D463" s="43"/>
      <c r="E463" s="43"/>
      <c r="F463" s="26" t="s">
        <v>715</v>
      </c>
      <c r="G463" s="97">
        <f t="shared" si="171"/>
        <v>0</v>
      </c>
      <c r="H463" s="97"/>
      <c r="I463" s="101"/>
      <c r="J463" s="101"/>
      <c r="K463" s="101"/>
      <c r="L463" s="97">
        <f t="shared" si="177"/>
        <v>0</v>
      </c>
      <c r="M463" s="101"/>
      <c r="N463" s="101"/>
      <c r="O463" s="101"/>
      <c r="P463" s="101"/>
      <c r="Q463" s="97">
        <f t="shared" si="173"/>
        <v>0</v>
      </c>
      <c r="R463" s="98">
        <f t="shared" si="180"/>
        <v>0</v>
      </c>
      <c r="S463" s="9"/>
      <c r="T463" s="9"/>
    </row>
    <row r="464" spans="1:20" s="5" customFormat="1" ht="42" customHeight="1">
      <c r="A464" s="13">
        <v>3</v>
      </c>
      <c r="B464" s="5">
        <v>59</v>
      </c>
      <c r="C464" s="25" t="s">
        <v>337</v>
      </c>
      <c r="D464" s="25" t="s">
        <v>163</v>
      </c>
      <c r="E464" s="25" t="s">
        <v>172</v>
      </c>
      <c r="F464" s="34" t="s">
        <v>338</v>
      </c>
      <c r="G464" s="97">
        <f t="shared" si="171"/>
        <v>827266</v>
      </c>
      <c r="H464" s="97">
        <f>799600+27666</f>
        <v>827266</v>
      </c>
      <c r="I464" s="97">
        <f>535250+10700</f>
        <v>545950</v>
      </c>
      <c r="J464" s="97">
        <f>28000-7000</f>
        <v>21000</v>
      </c>
      <c r="K464" s="97"/>
      <c r="L464" s="97">
        <f>N464+Q464</f>
        <v>35188</v>
      </c>
      <c r="M464" s="97">
        <f>36000-812</f>
        <v>35188</v>
      </c>
      <c r="N464" s="97"/>
      <c r="O464" s="97"/>
      <c r="P464" s="97"/>
      <c r="Q464" s="97">
        <f t="shared" si="173"/>
        <v>35188</v>
      </c>
      <c r="R464" s="98">
        <f t="shared" si="180"/>
        <v>862454</v>
      </c>
      <c r="S464" s="4"/>
      <c r="T464" s="4"/>
    </row>
    <row r="465" spans="1:20" s="5" customFormat="1" ht="31.5" customHeight="1">
      <c r="A465" s="13"/>
      <c r="C465" s="25" t="s">
        <v>340</v>
      </c>
      <c r="D465" s="25" t="s">
        <v>341</v>
      </c>
      <c r="E465" s="25" t="s">
        <v>171</v>
      </c>
      <c r="F465" s="34" t="s">
        <v>342</v>
      </c>
      <c r="G465" s="97">
        <f t="shared" si="171"/>
        <v>503515</v>
      </c>
      <c r="H465" s="97">
        <f>H466</f>
        <v>503515</v>
      </c>
      <c r="I465" s="97">
        <f aca="true" t="shared" si="181" ref="I465:P465">I466</f>
        <v>0</v>
      </c>
      <c r="J465" s="97">
        <f t="shared" si="181"/>
        <v>0</v>
      </c>
      <c r="K465" s="97">
        <f t="shared" si="181"/>
        <v>0</v>
      </c>
      <c r="L465" s="97">
        <f t="shared" si="177"/>
        <v>0</v>
      </c>
      <c r="M465" s="97">
        <f t="shared" si="181"/>
        <v>0</v>
      </c>
      <c r="N465" s="97">
        <f t="shared" si="181"/>
        <v>0</v>
      </c>
      <c r="O465" s="97">
        <f t="shared" si="181"/>
        <v>0</v>
      </c>
      <c r="P465" s="97">
        <f t="shared" si="181"/>
        <v>0</v>
      </c>
      <c r="Q465" s="97">
        <f t="shared" si="173"/>
        <v>0</v>
      </c>
      <c r="R465" s="98">
        <f t="shared" si="180"/>
        <v>503515</v>
      </c>
      <c r="S465" s="4"/>
      <c r="T465" s="4"/>
    </row>
    <row r="466" spans="1:20" s="6" customFormat="1" ht="57" customHeight="1">
      <c r="A466" s="29"/>
      <c r="C466" s="10"/>
      <c r="D466" s="10"/>
      <c r="E466" s="10"/>
      <c r="F466" s="26" t="s">
        <v>181</v>
      </c>
      <c r="G466" s="97">
        <f t="shared" si="171"/>
        <v>503515</v>
      </c>
      <c r="H466" s="97">
        <f>571600-68085</f>
        <v>503515</v>
      </c>
      <c r="I466" s="101"/>
      <c r="J466" s="101"/>
      <c r="K466" s="101"/>
      <c r="L466" s="97">
        <f t="shared" si="177"/>
        <v>0</v>
      </c>
      <c r="M466" s="97"/>
      <c r="N466" s="97"/>
      <c r="O466" s="97"/>
      <c r="P466" s="97"/>
      <c r="Q466" s="97">
        <f t="shared" si="173"/>
        <v>0</v>
      </c>
      <c r="R466" s="98">
        <f t="shared" si="180"/>
        <v>503515</v>
      </c>
      <c r="S466" s="9"/>
      <c r="T466" s="9"/>
    </row>
    <row r="467" spans="1:20" s="6" customFormat="1" ht="25.5" customHeight="1">
      <c r="A467" s="29"/>
      <c r="C467" s="20" t="s">
        <v>57</v>
      </c>
      <c r="D467" s="20" t="s">
        <v>33</v>
      </c>
      <c r="E467" s="20"/>
      <c r="F467" s="22" t="s">
        <v>34</v>
      </c>
      <c r="G467" s="98">
        <f>G468</f>
        <v>486340</v>
      </c>
      <c r="H467" s="98">
        <f aca="true" t="shared" si="182" ref="H467:R467">H468</f>
        <v>208659</v>
      </c>
      <c r="I467" s="98">
        <f t="shared" si="182"/>
        <v>0</v>
      </c>
      <c r="J467" s="98">
        <f t="shared" si="182"/>
        <v>0</v>
      </c>
      <c r="K467" s="98">
        <f t="shared" si="182"/>
        <v>277681</v>
      </c>
      <c r="L467" s="98">
        <f t="shared" si="182"/>
        <v>0</v>
      </c>
      <c r="M467" s="98">
        <f t="shared" si="182"/>
        <v>0</v>
      </c>
      <c r="N467" s="98">
        <f t="shared" si="182"/>
        <v>0</v>
      </c>
      <c r="O467" s="98">
        <f t="shared" si="182"/>
        <v>0</v>
      </c>
      <c r="P467" s="98">
        <f t="shared" si="182"/>
        <v>0</v>
      </c>
      <c r="Q467" s="98">
        <f t="shared" si="182"/>
        <v>0</v>
      </c>
      <c r="R467" s="98">
        <f t="shared" si="182"/>
        <v>486340</v>
      </c>
      <c r="S467" s="9"/>
      <c r="T467" s="9"/>
    </row>
    <row r="468" spans="1:20" s="5" customFormat="1" ht="37.5" customHeight="1">
      <c r="A468" s="13"/>
      <c r="C468" s="25" t="s">
        <v>339</v>
      </c>
      <c r="D468" s="25" t="s">
        <v>219</v>
      </c>
      <c r="E468" s="25" t="s">
        <v>122</v>
      </c>
      <c r="F468" s="34" t="s">
        <v>503</v>
      </c>
      <c r="G468" s="97">
        <f t="shared" si="171"/>
        <v>486340</v>
      </c>
      <c r="H468" s="97">
        <f>SUM(H469:H475)</f>
        <v>208659</v>
      </c>
      <c r="I468" s="97">
        <f>SUM(I469:I475)</f>
        <v>0</v>
      </c>
      <c r="J468" s="97">
        <f>SUM(J469:J475)</f>
        <v>0</v>
      </c>
      <c r="K468" s="97">
        <f>SUM(K469:K475)</f>
        <v>277681</v>
      </c>
      <c r="L468" s="97">
        <f aca="true" t="shared" si="183" ref="L468:L475">N468+Q468</f>
        <v>0</v>
      </c>
      <c r="M468" s="97">
        <f>SUM(M469:M471)</f>
        <v>0</v>
      </c>
      <c r="N468" s="97">
        <f>SUM(N469:N471)</f>
        <v>0</v>
      </c>
      <c r="O468" s="97">
        <f>SUM(O469:O471)</f>
        <v>0</v>
      </c>
      <c r="P468" s="97">
        <f>SUM(P469:P471)</f>
        <v>0</v>
      </c>
      <c r="Q468" s="97">
        <f t="shared" si="173"/>
        <v>0</v>
      </c>
      <c r="R468" s="98">
        <f aca="true" t="shared" si="184" ref="R468:R475">L468+G468</f>
        <v>486340</v>
      </c>
      <c r="S468" s="4"/>
      <c r="T468" s="4"/>
    </row>
    <row r="469" spans="3:20" s="6" customFormat="1" ht="112.5" customHeight="1">
      <c r="C469" s="10"/>
      <c r="D469" s="10"/>
      <c r="E469" s="10"/>
      <c r="F469" s="32" t="s">
        <v>644</v>
      </c>
      <c r="G469" s="97">
        <f t="shared" si="171"/>
        <v>58340</v>
      </c>
      <c r="H469" s="97">
        <f>50000+8340</f>
        <v>58340</v>
      </c>
      <c r="I469" s="101"/>
      <c r="J469" s="101"/>
      <c r="K469" s="101"/>
      <c r="L469" s="97">
        <f t="shared" si="183"/>
        <v>0</v>
      </c>
      <c r="M469" s="101"/>
      <c r="N469" s="101"/>
      <c r="O469" s="101"/>
      <c r="P469" s="101"/>
      <c r="Q469" s="97">
        <f aca="true" t="shared" si="185" ref="Q469:Q475">M469</f>
        <v>0</v>
      </c>
      <c r="R469" s="98">
        <f t="shared" si="184"/>
        <v>58340</v>
      </c>
      <c r="S469" s="9"/>
      <c r="T469" s="9"/>
    </row>
    <row r="470" spans="3:20" s="6" customFormat="1" ht="123" customHeight="1">
      <c r="C470" s="10"/>
      <c r="D470" s="10"/>
      <c r="E470" s="10"/>
      <c r="F470" s="32" t="s">
        <v>611</v>
      </c>
      <c r="G470" s="97">
        <f t="shared" si="171"/>
        <v>50000</v>
      </c>
      <c r="H470" s="97">
        <v>50000</v>
      </c>
      <c r="I470" s="101"/>
      <c r="J470" s="101"/>
      <c r="K470" s="101"/>
      <c r="L470" s="97">
        <f t="shared" si="183"/>
        <v>0</v>
      </c>
      <c r="M470" s="101"/>
      <c r="N470" s="101"/>
      <c r="O470" s="101"/>
      <c r="P470" s="101"/>
      <c r="Q470" s="97">
        <f t="shared" si="185"/>
        <v>0</v>
      </c>
      <c r="R470" s="98">
        <f t="shared" si="184"/>
        <v>50000</v>
      </c>
      <c r="S470" s="9"/>
      <c r="T470" s="9"/>
    </row>
    <row r="471" spans="3:20" s="6" customFormat="1" ht="150" customHeight="1">
      <c r="C471" s="10"/>
      <c r="D471" s="10"/>
      <c r="E471" s="10"/>
      <c r="F471" s="32" t="s">
        <v>612</v>
      </c>
      <c r="G471" s="97">
        <f t="shared" si="171"/>
        <v>50000</v>
      </c>
      <c r="H471" s="97">
        <v>50000</v>
      </c>
      <c r="I471" s="101"/>
      <c r="J471" s="101"/>
      <c r="K471" s="97"/>
      <c r="L471" s="97">
        <f t="shared" si="183"/>
        <v>0</v>
      </c>
      <c r="M471" s="101"/>
      <c r="N471" s="101"/>
      <c r="O471" s="101"/>
      <c r="P471" s="101"/>
      <c r="Q471" s="97">
        <f t="shared" si="185"/>
        <v>0</v>
      </c>
      <c r="R471" s="98">
        <f t="shared" si="184"/>
        <v>50000</v>
      </c>
      <c r="S471" s="9"/>
      <c r="T471" s="9"/>
    </row>
    <row r="472" spans="3:20" s="6" customFormat="1" ht="91.5" customHeight="1">
      <c r="C472" s="10"/>
      <c r="D472" s="10"/>
      <c r="E472" s="10"/>
      <c r="F472" s="32" t="s">
        <v>636</v>
      </c>
      <c r="G472" s="97">
        <f t="shared" si="171"/>
        <v>150000</v>
      </c>
      <c r="H472" s="97">
        <v>35319</v>
      </c>
      <c r="I472" s="101"/>
      <c r="J472" s="101"/>
      <c r="K472" s="97">
        <v>114681</v>
      </c>
      <c r="L472" s="97">
        <f t="shared" si="183"/>
        <v>0</v>
      </c>
      <c r="M472" s="101"/>
      <c r="N472" s="101"/>
      <c r="O472" s="101"/>
      <c r="P472" s="101"/>
      <c r="Q472" s="97">
        <f t="shared" si="185"/>
        <v>0</v>
      </c>
      <c r="R472" s="98">
        <f t="shared" si="184"/>
        <v>150000</v>
      </c>
      <c r="S472" s="9"/>
      <c r="T472" s="9"/>
    </row>
    <row r="473" spans="3:20" s="6" customFormat="1" ht="115.5" customHeight="1">
      <c r="C473" s="10"/>
      <c r="D473" s="10"/>
      <c r="E473" s="10"/>
      <c r="F473" s="32" t="s">
        <v>632</v>
      </c>
      <c r="G473" s="97">
        <f t="shared" si="171"/>
        <v>15000</v>
      </c>
      <c r="H473" s="97">
        <v>15000</v>
      </c>
      <c r="I473" s="101"/>
      <c r="J473" s="101"/>
      <c r="K473" s="97"/>
      <c r="L473" s="97">
        <f t="shared" si="183"/>
        <v>0</v>
      </c>
      <c r="M473" s="101"/>
      <c r="N473" s="101"/>
      <c r="O473" s="101"/>
      <c r="P473" s="101"/>
      <c r="Q473" s="97">
        <f t="shared" si="185"/>
        <v>0</v>
      </c>
      <c r="R473" s="98">
        <f t="shared" si="184"/>
        <v>15000</v>
      </c>
      <c r="S473" s="9"/>
      <c r="T473" s="9"/>
    </row>
    <row r="474" spans="3:20" s="6" customFormat="1" ht="68.25" customHeight="1">
      <c r="C474" s="10"/>
      <c r="D474" s="10"/>
      <c r="E474" s="10"/>
      <c r="F474" s="32" t="s">
        <v>637</v>
      </c>
      <c r="G474" s="97">
        <f t="shared" si="171"/>
        <v>63000</v>
      </c>
      <c r="H474" s="97"/>
      <c r="I474" s="101"/>
      <c r="J474" s="101"/>
      <c r="K474" s="97">
        <v>63000</v>
      </c>
      <c r="L474" s="97">
        <f t="shared" si="183"/>
        <v>0</v>
      </c>
      <c r="M474" s="101"/>
      <c r="N474" s="101"/>
      <c r="O474" s="101"/>
      <c r="P474" s="101"/>
      <c r="Q474" s="97">
        <f>M474</f>
        <v>0</v>
      </c>
      <c r="R474" s="98">
        <f>L474+G474</f>
        <v>63000</v>
      </c>
      <c r="S474" s="9"/>
      <c r="T474" s="9"/>
    </row>
    <row r="475" spans="3:20" s="6" customFormat="1" ht="103.5" customHeight="1">
      <c r="C475" s="10"/>
      <c r="D475" s="10"/>
      <c r="E475" s="10"/>
      <c r="F475" s="32" t="s">
        <v>627</v>
      </c>
      <c r="G475" s="97">
        <f t="shared" si="171"/>
        <v>100000</v>
      </c>
      <c r="H475" s="97"/>
      <c r="I475" s="101"/>
      <c r="J475" s="101"/>
      <c r="K475" s="97">
        <v>100000</v>
      </c>
      <c r="L475" s="97">
        <f t="shared" si="183"/>
        <v>0</v>
      </c>
      <c r="M475" s="101"/>
      <c r="N475" s="101"/>
      <c r="O475" s="101"/>
      <c r="P475" s="101"/>
      <c r="Q475" s="97">
        <f t="shared" si="185"/>
        <v>0</v>
      </c>
      <c r="R475" s="98">
        <f t="shared" si="184"/>
        <v>100000</v>
      </c>
      <c r="S475" s="9"/>
      <c r="T475" s="9"/>
    </row>
    <row r="476" spans="3:22" s="13" customFormat="1" ht="29.25" customHeight="1">
      <c r="C476" s="20"/>
      <c r="D476" s="20"/>
      <c r="E476" s="20"/>
      <c r="F476" s="48" t="s">
        <v>100</v>
      </c>
      <c r="G476" s="98">
        <f>G451+G457+G460+G464+G465+G468+G454</f>
        <v>6198090</v>
      </c>
      <c r="H476" s="64">
        <f aca="true" t="shared" si="186" ref="H476:R476">H451+H457+H460+H464+H465+H468+H454</f>
        <v>5920409</v>
      </c>
      <c r="I476" s="64">
        <f t="shared" si="186"/>
        <v>3386316</v>
      </c>
      <c r="J476" s="64">
        <f t="shared" si="186"/>
        <v>102800</v>
      </c>
      <c r="K476" s="64">
        <f t="shared" si="186"/>
        <v>277681</v>
      </c>
      <c r="L476" s="64">
        <f t="shared" si="186"/>
        <v>4425946</v>
      </c>
      <c r="M476" s="64">
        <f t="shared" si="186"/>
        <v>4425946</v>
      </c>
      <c r="N476" s="64">
        <f t="shared" si="186"/>
        <v>0</v>
      </c>
      <c r="O476" s="64">
        <f t="shared" si="186"/>
        <v>0</v>
      </c>
      <c r="P476" s="64">
        <f t="shared" si="186"/>
        <v>0</v>
      </c>
      <c r="Q476" s="64">
        <f t="shared" si="186"/>
        <v>4425946</v>
      </c>
      <c r="R476" s="64">
        <f t="shared" si="186"/>
        <v>10624036</v>
      </c>
      <c r="S476" s="66"/>
      <c r="T476" s="23"/>
      <c r="U476" s="24"/>
      <c r="V476" s="24"/>
    </row>
    <row r="477" spans="3:21" s="13" customFormat="1" ht="48.75" customHeight="1">
      <c r="C477" s="20" t="s">
        <v>213</v>
      </c>
      <c r="D477" s="20"/>
      <c r="E477" s="20"/>
      <c r="F477" s="33" t="s">
        <v>58</v>
      </c>
      <c r="G477" s="98"/>
      <c r="H477" s="98"/>
      <c r="I477" s="98"/>
      <c r="J477" s="98"/>
      <c r="K477" s="98"/>
      <c r="L477" s="98"/>
      <c r="M477" s="98"/>
      <c r="N477" s="98"/>
      <c r="O477" s="98"/>
      <c r="P477" s="98"/>
      <c r="Q477" s="98"/>
      <c r="R477" s="98"/>
      <c r="S477" s="23"/>
      <c r="T477" s="23"/>
      <c r="U477" s="24"/>
    </row>
    <row r="478" spans="3:21" s="6" customFormat="1" ht="41.25" customHeight="1">
      <c r="C478" s="25" t="s">
        <v>214</v>
      </c>
      <c r="D478" s="10"/>
      <c r="E478" s="10"/>
      <c r="F478" s="35" t="s">
        <v>58</v>
      </c>
      <c r="G478" s="101"/>
      <c r="H478" s="101"/>
      <c r="I478" s="101"/>
      <c r="J478" s="101"/>
      <c r="K478" s="101"/>
      <c r="L478" s="101"/>
      <c r="M478" s="101"/>
      <c r="N478" s="101"/>
      <c r="O478" s="101"/>
      <c r="P478" s="101"/>
      <c r="Q478" s="101"/>
      <c r="R478" s="147"/>
      <c r="S478" s="9"/>
      <c r="T478" s="9"/>
      <c r="U478" s="40"/>
    </row>
    <row r="479" spans="3:21" s="6" customFormat="1" ht="27.75" customHeight="1">
      <c r="C479" s="20" t="s">
        <v>59</v>
      </c>
      <c r="D479" s="20" t="s">
        <v>22</v>
      </c>
      <c r="E479" s="20"/>
      <c r="F479" s="33" t="s">
        <v>23</v>
      </c>
      <c r="G479" s="98">
        <f>G480</f>
        <v>5094599</v>
      </c>
      <c r="H479" s="98">
        <f aca="true" t="shared" si="187" ref="H479:R479">H480</f>
        <v>5094599</v>
      </c>
      <c r="I479" s="98">
        <f t="shared" si="187"/>
        <v>3912272</v>
      </c>
      <c r="J479" s="98">
        <f t="shared" si="187"/>
        <v>34100</v>
      </c>
      <c r="K479" s="98">
        <f t="shared" si="187"/>
        <v>0</v>
      </c>
      <c r="L479" s="98">
        <f t="shared" si="187"/>
        <v>14000</v>
      </c>
      <c r="M479" s="98">
        <f t="shared" si="187"/>
        <v>14000</v>
      </c>
      <c r="N479" s="98">
        <f t="shared" si="187"/>
        <v>0</v>
      </c>
      <c r="O479" s="98">
        <f t="shared" si="187"/>
        <v>0</v>
      </c>
      <c r="P479" s="98">
        <f t="shared" si="187"/>
        <v>0</v>
      </c>
      <c r="Q479" s="98">
        <f t="shared" si="187"/>
        <v>14000</v>
      </c>
      <c r="R479" s="98">
        <f t="shared" si="187"/>
        <v>5108599</v>
      </c>
      <c r="S479" s="9"/>
      <c r="T479" s="9"/>
      <c r="U479" s="40"/>
    </row>
    <row r="480" spans="1:20" s="5" customFormat="1" ht="50.25" customHeight="1">
      <c r="A480" s="5">
        <v>6</v>
      </c>
      <c r="B480" s="5">
        <v>45</v>
      </c>
      <c r="C480" s="25" t="s">
        <v>391</v>
      </c>
      <c r="D480" s="25" t="s">
        <v>126</v>
      </c>
      <c r="E480" s="25" t="s">
        <v>123</v>
      </c>
      <c r="F480" s="34" t="s">
        <v>205</v>
      </c>
      <c r="G480" s="97">
        <f aca="true" t="shared" si="188" ref="G480:G491">H480</f>
        <v>5094599</v>
      </c>
      <c r="H480" s="97">
        <f>SUM(H481:H483)</f>
        <v>5094599</v>
      </c>
      <c r="I480" s="97">
        <f aca="true" t="shared" si="189" ref="I480:P480">SUM(I481:I483)</f>
        <v>3912272</v>
      </c>
      <c r="J480" s="97">
        <f t="shared" si="189"/>
        <v>34100</v>
      </c>
      <c r="K480" s="97">
        <f t="shared" si="189"/>
        <v>0</v>
      </c>
      <c r="L480" s="97">
        <f t="shared" si="189"/>
        <v>14000</v>
      </c>
      <c r="M480" s="97">
        <f t="shared" si="189"/>
        <v>14000</v>
      </c>
      <c r="N480" s="97">
        <f t="shared" si="189"/>
        <v>0</v>
      </c>
      <c r="O480" s="97">
        <f t="shared" si="189"/>
        <v>0</v>
      </c>
      <c r="P480" s="97">
        <f t="shared" si="189"/>
        <v>0</v>
      </c>
      <c r="Q480" s="97">
        <f>M480</f>
        <v>14000</v>
      </c>
      <c r="R480" s="98">
        <f aca="true" t="shared" si="190" ref="R480:R491">L480+G480</f>
        <v>5108599</v>
      </c>
      <c r="S480" s="4"/>
      <c r="T480" s="4"/>
    </row>
    <row r="481" spans="3:20" s="5" customFormat="1" ht="30" customHeight="1">
      <c r="C481" s="25"/>
      <c r="D481" s="25"/>
      <c r="E481" s="25"/>
      <c r="F481" s="26" t="s">
        <v>613</v>
      </c>
      <c r="G481" s="97">
        <f>H481</f>
        <v>5085879</v>
      </c>
      <c r="H481" s="97">
        <f>4890000+7000+61000+127879</f>
        <v>5085879</v>
      </c>
      <c r="I481" s="97">
        <f>3793900+118372</f>
        <v>3912272</v>
      </c>
      <c r="J481" s="97">
        <f>49500-15400</f>
        <v>34100</v>
      </c>
      <c r="K481" s="97"/>
      <c r="L481" s="97">
        <f>N481+Q481</f>
        <v>14000</v>
      </c>
      <c r="M481" s="97">
        <f>21000-7000</f>
        <v>14000</v>
      </c>
      <c r="N481" s="97"/>
      <c r="O481" s="97"/>
      <c r="P481" s="97"/>
      <c r="Q481" s="97">
        <f>M481</f>
        <v>14000</v>
      </c>
      <c r="R481" s="98">
        <f t="shared" si="190"/>
        <v>5099879</v>
      </c>
      <c r="S481" s="4"/>
      <c r="T481" s="4"/>
    </row>
    <row r="482" spans="3:20" s="5" customFormat="1" ht="75" customHeight="1">
      <c r="C482" s="25"/>
      <c r="D482" s="25"/>
      <c r="E482" s="25"/>
      <c r="F482" s="26" t="s">
        <v>633</v>
      </c>
      <c r="G482" s="97">
        <f>H482</f>
        <v>0</v>
      </c>
      <c r="H482" s="97">
        <f>2627845-2627845</f>
        <v>0</v>
      </c>
      <c r="I482" s="97"/>
      <c r="J482" s="97"/>
      <c r="K482" s="97"/>
      <c r="L482" s="97">
        <f>N482+Q482</f>
        <v>0</v>
      </c>
      <c r="M482" s="97"/>
      <c r="N482" s="97"/>
      <c r="O482" s="97"/>
      <c r="P482" s="97"/>
      <c r="Q482" s="97">
        <f>M482</f>
        <v>0</v>
      </c>
      <c r="R482" s="98">
        <f>L482+G482</f>
        <v>0</v>
      </c>
      <c r="S482" s="4"/>
      <c r="T482" s="4"/>
    </row>
    <row r="483" spans="3:20" s="5" customFormat="1" ht="50.25" customHeight="1">
      <c r="C483" s="25"/>
      <c r="D483" s="25"/>
      <c r="E483" s="25"/>
      <c r="F483" s="26" t="s">
        <v>597</v>
      </c>
      <c r="G483" s="97">
        <f>H483</f>
        <v>8720</v>
      </c>
      <c r="H483" s="97">
        <v>8720</v>
      </c>
      <c r="I483" s="97"/>
      <c r="J483" s="97"/>
      <c r="K483" s="97"/>
      <c r="L483" s="97">
        <f>N483+Q483</f>
        <v>0</v>
      </c>
      <c r="M483" s="97"/>
      <c r="N483" s="97"/>
      <c r="O483" s="97"/>
      <c r="P483" s="97"/>
      <c r="Q483" s="97">
        <f>M483</f>
        <v>0</v>
      </c>
      <c r="R483" s="98">
        <f t="shared" si="190"/>
        <v>8720</v>
      </c>
      <c r="S483" s="4"/>
      <c r="T483" s="4"/>
    </row>
    <row r="484" spans="3:20" s="5" customFormat="1" ht="38.25" customHeight="1" hidden="1">
      <c r="C484" s="25" t="s">
        <v>569</v>
      </c>
      <c r="D484" s="25" t="s">
        <v>127</v>
      </c>
      <c r="E484" s="25" t="s">
        <v>128</v>
      </c>
      <c r="F484" s="34" t="s">
        <v>224</v>
      </c>
      <c r="G484" s="97">
        <f t="shared" si="188"/>
        <v>0</v>
      </c>
      <c r="H484" s="97">
        <f>H485</f>
        <v>0</v>
      </c>
      <c r="I484" s="97">
        <f aca="true" t="shared" si="191" ref="I484:P484">I485</f>
        <v>0</v>
      </c>
      <c r="J484" s="97">
        <f t="shared" si="191"/>
        <v>0</v>
      </c>
      <c r="K484" s="97">
        <f t="shared" si="191"/>
        <v>0</v>
      </c>
      <c r="L484" s="97">
        <f t="shared" si="191"/>
        <v>0</v>
      </c>
      <c r="M484" s="97">
        <f t="shared" si="191"/>
        <v>0</v>
      </c>
      <c r="N484" s="97">
        <f t="shared" si="191"/>
        <v>0</v>
      </c>
      <c r="O484" s="97">
        <f t="shared" si="191"/>
        <v>0</v>
      </c>
      <c r="P484" s="97">
        <f t="shared" si="191"/>
        <v>0</v>
      </c>
      <c r="Q484" s="97">
        <f aca="true" t="shared" si="192" ref="Q484:Q504">M484</f>
        <v>0</v>
      </c>
      <c r="R484" s="98">
        <f t="shared" si="190"/>
        <v>0</v>
      </c>
      <c r="S484" s="4"/>
      <c r="T484" s="4"/>
    </row>
    <row r="485" spans="3:20" s="5" customFormat="1" ht="88.5" customHeight="1" hidden="1">
      <c r="C485" s="99"/>
      <c r="D485" s="99"/>
      <c r="E485" s="99"/>
      <c r="F485" s="26" t="s">
        <v>570</v>
      </c>
      <c r="G485" s="97">
        <f t="shared" si="188"/>
        <v>0</v>
      </c>
      <c r="H485" s="97"/>
      <c r="I485" s="97"/>
      <c r="J485" s="97"/>
      <c r="K485" s="97"/>
      <c r="L485" s="97">
        <f>L490</f>
        <v>0</v>
      </c>
      <c r="M485" s="97"/>
      <c r="N485" s="97"/>
      <c r="O485" s="97"/>
      <c r="P485" s="97"/>
      <c r="Q485" s="97">
        <f t="shared" si="192"/>
        <v>0</v>
      </c>
      <c r="R485" s="98">
        <f t="shared" si="190"/>
        <v>0</v>
      </c>
      <c r="S485" s="4"/>
      <c r="T485" s="4"/>
    </row>
    <row r="486" spans="3:20" s="5" customFormat="1" ht="88.5" customHeight="1" hidden="1">
      <c r="C486" s="25" t="s">
        <v>571</v>
      </c>
      <c r="D486" s="25" t="s">
        <v>129</v>
      </c>
      <c r="E486" s="25" t="s">
        <v>130</v>
      </c>
      <c r="F486" s="35" t="s">
        <v>572</v>
      </c>
      <c r="G486" s="97">
        <f t="shared" si="188"/>
        <v>0</v>
      </c>
      <c r="H486" s="97">
        <f>H487</f>
        <v>0</v>
      </c>
      <c r="I486" s="97">
        <f aca="true" t="shared" si="193" ref="I486:P486">I487</f>
        <v>0</v>
      </c>
      <c r="J486" s="97">
        <f t="shared" si="193"/>
        <v>0</v>
      </c>
      <c r="K486" s="97">
        <f t="shared" si="193"/>
        <v>0</v>
      </c>
      <c r="L486" s="97">
        <f t="shared" si="193"/>
        <v>0</v>
      </c>
      <c r="M486" s="97">
        <f t="shared" si="193"/>
        <v>0</v>
      </c>
      <c r="N486" s="97">
        <f t="shared" si="193"/>
        <v>0</v>
      </c>
      <c r="O486" s="97">
        <f t="shared" si="193"/>
        <v>0</v>
      </c>
      <c r="P486" s="97">
        <f t="shared" si="193"/>
        <v>0</v>
      </c>
      <c r="Q486" s="97">
        <f t="shared" si="192"/>
        <v>0</v>
      </c>
      <c r="R486" s="98">
        <f t="shared" si="190"/>
        <v>0</v>
      </c>
      <c r="S486" s="4"/>
      <c r="T486" s="4"/>
    </row>
    <row r="487" spans="3:20" s="5" customFormat="1" ht="88.5" customHeight="1" hidden="1">
      <c r="C487" s="25"/>
      <c r="D487" s="25"/>
      <c r="E487" s="25"/>
      <c r="F487" s="36" t="s">
        <v>573</v>
      </c>
      <c r="G487" s="97">
        <f t="shared" si="188"/>
        <v>0</v>
      </c>
      <c r="H487" s="97"/>
      <c r="I487" s="97"/>
      <c r="J487" s="97"/>
      <c r="K487" s="97"/>
      <c r="L487" s="97">
        <f>L490</f>
        <v>0</v>
      </c>
      <c r="M487" s="97"/>
      <c r="N487" s="97"/>
      <c r="O487" s="97"/>
      <c r="P487" s="97"/>
      <c r="Q487" s="97">
        <f t="shared" si="192"/>
        <v>0</v>
      </c>
      <c r="R487" s="98">
        <f t="shared" si="190"/>
        <v>0</v>
      </c>
      <c r="S487" s="4"/>
      <c r="T487" s="4"/>
    </row>
    <row r="488" spans="3:20" s="5" customFormat="1" ht="35.25" customHeight="1" hidden="1">
      <c r="C488" s="102" t="s">
        <v>578</v>
      </c>
      <c r="D488" s="102" t="s">
        <v>356</v>
      </c>
      <c r="E488" s="102" t="s">
        <v>357</v>
      </c>
      <c r="F488" s="50" t="s">
        <v>358</v>
      </c>
      <c r="G488" s="97">
        <f t="shared" si="188"/>
        <v>0</v>
      </c>
      <c r="H488" s="97">
        <f>H489</f>
        <v>0</v>
      </c>
      <c r="I488" s="97"/>
      <c r="J488" s="97"/>
      <c r="K488" s="97"/>
      <c r="L488" s="97">
        <f>L491</f>
        <v>0</v>
      </c>
      <c r="M488" s="97"/>
      <c r="N488" s="97"/>
      <c r="O488" s="97"/>
      <c r="P488" s="97"/>
      <c r="Q488" s="97">
        <f t="shared" si="192"/>
        <v>0</v>
      </c>
      <c r="R488" s="98">
        <f t="shared" si="190"/>
        <v>0</v>
      </c>
      <c r="S488" s="4"/>
      <c r="T488" s="4"/>
    </row>
    <row r="489" spans="3:20" s="5" customFormat="1" ht="81" customHeight="1" hidden="1">
      <c r="C489" s="99"/>
      <c r="D489" s="99"/>
      <c r="E489" s="99"/>
      <c r="F489" s="26" t="s">
        <v>579</v>
      </c>
      <c r="G489" s="97">
        <f t="shared" si="188"/>
        <v>0</v>
      </c>
      <c r="H489" s="97"/>
      <c r="I489" s="97"/>
      <c r="J489" s="97"/>
      <c r="K489" s="97"/>
      <c r="L489" s="97">
        <f>L493</f>
        <v>0</v>
      </c>
      <c r="M489" s="97"/>
      <c r="N489" s="97"/>
      <c r="O489" s="97"/>
      <c r="P489" s="97"/>
      <c r="Q489" s="97">
        <f t="shared" si="192"/>
        <v>0</v>
      </c>
      <c r="R489" s="98">
        <f t="shared" si="190"/>
        <v>0</v>
      </c>
      <c r="S489" s="4"/>
      <c r="T489" s="4"/>
    </row>
    <row r="490" spans="3:20" s="5" customFormat="1" ht="43.5" customHeight="1" hidden="1">
      <c r="C490" s="25" t="s">
        <v>388</v>
      </c>
      <c r="D490" s="25" t="s">
        <v>389</v>
      </c>
      <c r="E490" s="25" t="s">
        <v>193</v>
      </c>
      <c r="F490" s="34" t="s">
        <v>390</v>
      </c>
      <c r="G490" s="97">
        <f t="shared" si="188"/>
        <v>0</v>
      </c>
      <c r="H490" s="97">
        <f>H491</f>
        <v>0</v>
      </c>
      <c r="I490" s="97">
        <f aca="true" t="shared" si="194" ref="I490:P490">I491</f>
        <v>0</v>
      </c>
      <c r="J490" s="97">
        <f t="shared" si="194"/>
        <v>0</v>
      </c>
      <c r="K490" s="97">
        <f t="shared" si="194"/>
        <v>0</v>
      </c>
      <c r="L490" s="97">
        <f>N490+Q490</f>
        <v>0</v>
      </c>
      <c r="M490" s="97"/>
      <c r="N490" s="97">
        <f t="shared" si="194"/>
        <v>0</v>
      </c>
      <c r="O490" s="97">
        <f t="shared" si="194"/>
        <v>0</v>
      </c>
      <c r="P490" s="97">
        <f t="shared" si="194"/>
        <v>0</v>
      </c>
      <c r="Q490" s="97">
        <f t="shared" si="192"/>
        <v>0</v>
      </c>
      <c r="R490" s="98">
        <f t="shared" si="190"/>
        <v>0</v>
      </c>
      <c r="S490" s="4"/>
      <c r="T490" s="4"/>
    </row>
    <row r="491" spans="3:20" s="6" customFormat="1" ht="75" customHeight="1" hidden="1">
      <c r="C491" s="10"/>
      <c r="D491" s="10"/>
      <c r="E491" s="10"/>
      <c r="F491" s="26" t="s">
        <v>531</v>
      </c>
      <c r="G491" s="97">
        <f t="shared" si="188"/>
        <v>0</v>
      </c>
      <c r="H491" s="97"/>
      <c r="I491" s="101"/>
      <c r="J491" s="101"/>
      <c r="K491" s="193"/>
      <c r="L491" s="101">
        <f>N491+Q491</f>
        <v>0</v>
      </c>
      <c r="M491" s="101"/>
      <c r="N491" s="193"/>
      <c r="O491" s="193"/>
      <c r="P491" s="193"/>
      <c r="Q491" s="97">
        <f t="shared" si="192"/>
        <v>0</v>
      </c>
      <c r="R491" s="98">
        <f t="shared" si="190"/>
        <v>0</v>
      </c>
      <c r="S491" s="194"/>
      <c r="T491" s="9"/>
    </row>
    <row r="492" spans="3:20" s="6" customFormat="1" ht="26.25" customHeight="1" hidden="1">
      <c r="C492" s="20" t="s">
        <v>62</v>
      </c>
      <c r="D492" s="20" t="s">
        <v>30</v>
      </c>
      <c r="E492" s="20"/>
      <c r="F492" s="22" t="s">
        <v>63</v>
      </c>
      <c r="G492" s="98">
        <f>G494+G502</f>
        <v>0</v>
      </c>
      <c r="H492" s="98">
        <f aca="true" t="shared" si="195" ref="H492:R492">H494+H502</f>
        <v>0</v>
      </c>
      <c r="I492" s="98">
        <f t="shared" si="195"/>
        <v>0</v>
      </c>
      <c r="J492" s="98">
        <f t="shared" si="195"/>
        <v>0</v>
      </c>
      <c r="K492" s="98">
        <f t="shared" si="195"/>
        <v>0</v>
      </c>
      <c r="L492" s="98">
        <f t="shared" si="195"/>
        <v>0</v>
      </c>
      <c r="M492" s="98">
        <f t="shared" si="195"/>
        <v>0</v>
      </c>
      <c r="N492" s="98">
        <f t="shared" si="195"/>
        <v>0</v>
      </c>
      <c r="O492" s="98">
        <f t="shared" si="195"/>
        <v>0</v>
      </c>
      <c r="P492" s="98">
        <f t="shared" si="195"/>
        <v>0</v>
      </c>
      <c r="Q492" s="98">
        <f t="shared" si="195"/>
        <v>0</v>
      </c>
      <c r="R492" s="98">
        <f t="shared" si="195"/>
        <v>0</v>
      </c>
      <c r="S492" s="194"/>
      <c r="T492" s="9"/>
    </row>
    <row r="493" spans="3:20" s="5" customFormat="1" ht="81.75" customHeight="1" hidden="1">
      <c r="C493" s="25" t="s">
        <v>343</v>
      </c>
      <c r="D493" s="25" t="s">
        <v>174</v>
      </c>
      <c r="E493" s="25" t="s">
        <v>124</v>
      </c>
      <c r="F493" s="34" t="s">
        <v>344</v>
      </c>
      <c r="G493" s="97">
        <f aca="true" t="shared" si="196" ref="G493:G504">H493+K493</f>
        <v>0</v>
      </c>
      <c r="H493" s="97"/>
      <c r="I493" s="97"/>
      <c r="J493" s="97"/>
      <c r="K493" s="149"/>
      <c r="L493" s="97">
        <f>N493+Q493</f>
        <v>0</v>
      </c>
      <c r="M493" s="97"/>
      <c r="N493" s="149"/>
      <c r="O493" s="149"/>
      <c r="P493" s="149"/>
      <c r="Q493" s="97">
        <f t="shared" si="192"/>
        <v>0</v>
      </c>
      <c r="R493" s="98">
        <f>L493+G493</f>
        <v>0</v>
      </c>
      <c r="S493" s="195"/>
      <c r="T493" s="4"/>
    </row>
    <row r="494" spans="3:20" s="6" customFormat="1" ht="35.25" customHeight="1" hidden="1">
      <c r="C494" s="25" t="s">
        <v>446</v>
      </c>
      <c r="D494" s="25" t="s">
        <v>383</v>
      </c>
      <c r="E494" s="25" t="s">
        <v>124</v>
      </c>
      <c r="F494" s="35" t="s">
        <v>323</v>
      </c>
      <c r="G494" s="97">
        <f t="shared" si="196"/>
        <v>0</v>
      </c>
      <c r="H494" s="97">
        <f>H496+H495</f>
        <v>0</v>
      </c>
      <c r="I494" s="97">
        <f aca="true" t="shared" si="197" ref="I494:P494">I496+I495</f>
        <v>0</v>
      </c>
      <c r="J494" s="97">
        <f t="shared" si="197"/>
        <v>0</v>
      </c>
      <c r="K494" s="97">
        <f t="shared" si="197"/>
        <v>0</v>
      </c>
      <c r="L494" s="97">
        <f t="shared" si="197"/>
        <v>0</v>
      </c>
      <c r="M494" s="97">
        <f t="shared" si="197"/>
        <v>0</v>
      </c>
      <c r="N494" s="97">
        <f t="shared" si="197"/>
        <v>0</v>
      </c>
      <c r="O494" s="97">
        <f t="shared" si="197"/>
        <v>0</v>
      </c>
      <c r="P494" s="97">
        <f t="shared" si="197"/>
        <v>0</v>
      </c>
      <c r="Q494" s="97">
        <f t="shared" si="192"/>
        <v>0</v>
      </c>
      <c r="R494" s="98">
        <f>L494+G494</f>
        <v>0</v>
      </c>
      <c r="S494" s="4"/>
      <c r="T494" s="4"/>
    </row>
    <row r="495" spans="3:20" s="6" customFormat="1" ht="129.75" customHeight="1" hidden="1">
      <c r="C495" s="25"/>
      <c r="D495" s="25"/>
      <c r="E495" s="25"/>
      <c r="F495" s="36" t="s">
        <v>615</v>
      </c>
      <c r="G495" s="97">
        <f t="shared" si="196"/>
        <v>0</v>
      </c>
      <c r="H495" s="97">
        <f>2000000-1501339+1307250-1805911</f>
        <v>0</v>
      </c>
      <c r="I495" s="97"/>
      <c r="J495" s="97"/>
      <c r="K495" s="97"/>
      <c r="L495" s="97">
        <f aca="true" t="shared" si="198" ref="L495:L504">N495+Q495</f>
        <v>0</v>
      </c>
      <c r="M495" s="97"/>
      <c r="N495" s="97"/>
      <c r="O495" s="97"/>
      <c r="P495" s="97"/>
      <c r="Q495" s="97">
        <f t="shared" si="192"/>
        <v>0</v>
      </c>
      <c r="R495" s="98">
        <f>L495+G495</f>
        <v>0</v>
      </c>
      <c r="S495" s="4"/>
      <c r="T495" s="4"/>
    </row>
    <row r="496" spans="3:20" s="6" customFormat="1" ht="41.25" customHeight="1" hidden="1">
      <c r="C496" s="10"/>
      <c r="D496" s="10"/>
      <c r="E496" s="10"/>
      <c r="F496" s="36" t="s">
        <v>447</v>
      </c>
      <c r="G496" s="97">
        <f t="shared" si="196"/>
        <v>0</v>
      </c>
      <c r="H496" s="97">
        <f>2210000-882797-191500+644187-1228276-508600.55-43013.45</f>
        <v>0</v>
      </c>
      <c r="I496" s="97"/>
      <c r="J496" s="97"/>
      <c r="K496" s="149"/>
      <c r="L496" s="97">
        <f t="shared" si="198"/>
        <v>0</v>
      </c>
      <c r="M496" s="97"/>
      <c r="N496" s="193"/>
      <c r="O496" s="193"/>
      <c r="P496" s="193"/>
      <c r="Q496" s="97">
        <f t="shared" si="192"/>
        <v>0</v>
      </c>
      <c r="R496" s="98">
        <f>L496+G496</f>
        <v>0</v>
      </c>
      <c r="S496" s="194"/>
      <c r="T496" s="4"/>
    </row>
    <row r="497" spans="3:20" s="6" customFormat="1" ht="34.5" customHeight="1" hidden="1">
      <c r="C497" s="20" t="s">
        <v>60</v>
      </c>
      <c r="D497" s="20" t="s">
        <v>47</v>
      </c>
      <c r="E497" s="20"/>
      <c r="F497" s="33" t="s">
        <v>48</v>
      </c>
      <c r="G497" s="97"/>
      <c r="H497" s="97"/>
      <c r="I497" s="97"/>
      <c r="J497" s="97"/>
      <c r="K497" s="149"/>
      <c r="L497" s="97"/>
      <c r="M497" s="97"/>
      <c r="N497" s="193"/>
      <c r="O497" s="193"/>
      <c r="P497" s="193"/>
      <c r="Q497" s="97">
        <f t="shared" si="192"/>
        <v>0</v>
      </c>
      <c r="R497" s="98"/>
      <c r="S497" s="194"/>
      <c r="T497" s="4"/>
    </row>
    <row r="498" spans="3:20" s="6" customFormat="1" ht="31.5" customHeight="1" hidden="1">
      <c r="C498" s="25" t="s">
        <v>509</v>
      </c>
      <c r="D498" s="25" t="s">
        <v>221</v>
      </c>
      <c r="E498" s="25" t="s">
        <v>171</v>
      </c>
      <c r="F498" s="34" t="s">
        <v>222</v>
      </c>
      <c r="G498" s="97">
        <f t="shared" si="196"/>
        <v>0</v>
      </c>
      <c r="H498" s="101">
        <f aca="true" t="shared" si="199" ref="H498:P498">H499</f>
        <v>0</v>
      </c>
      <c r="I498" s="101">
        <f t="shared" si="199"/>
        <v>0</v>
      </c>
      <c r="J498" s="101">
        <f t="shared" si="199"/>
        <v>0</v>
      </c>
      <c r="K498" s="101">
        <f t="shared" si="199"/>
        <v>0</v>
      </c>
      <c r="L498" s="97">
        <f t="shared" si="198"/>
        <v>0</v>
      </c>
      <c r="M498" s="101">
        <f t="shared" si="199"/>
        <v>0</v>
      </c>
      <c r="N498" s="101">
        <f t="shared" si="199"/>
        <v>0</v>
      </c>
      <c r="O498" s="101">
        <f t="shared" si="199"/>
        <v>0</v>
      </c>
      <c r="P498" s="101">
        <f t="shared" si="199"/>
        <v>0</v>
      </c>
      <c r="Q498" s="97">
        <f t="shared" si="192"/>
        <v>0</v>
      </c>
      <c r="R498" s="98">
        <f>L498+G498</f>
        <v>0</v>
      </c>
      <c r="S498" s="9"/>
      <c r="T498" s="4"/>
    </row>
    <row r="499" spans="3:20" s="6" customFormat="1" ht="39" customHeight="1" hidden="1">
      <c r="C499" s="25"/>
      <c r="D499" s="25"/>
      <c r="E499" s="25"/>
      <c r="F499" s="26" t="s">
        <v>510</v>
      </c>
      <c r="G499" s="97">
        <f t="shared" si="196"/>
        <v>0</v>
      </c>
      <c r="H499" s="101"/>
      <c r="I499" s="101"/>
      <c r="J499" s="101"/>
      <c r="K499" s="193"/>
      <c r="L499" s="97">
        <f t="shared" si="198"/>
        <v>0</v>
      </c>
      <c r="M499" s="97"/>
      <c r="N499" s="193"/>
      <c r="O499" s="193"/>
      <c r="P499" s="193"/>
      <c r="Q499" s="97">
        <f t="shared" si="192"/>
        <v>0</v>
      </c>
      <c r="R499" s="98">
        <f>L499+G499</f>
        <v>0</v>
      </c>
      <c r="S499" s="194"/>
      <c r="T499" s="4"/>
    </row>
    <row r="500" spans="3:20" s="5" customFormat="1" ht="30" customHeight="1" hidden="1">
      <c r="C500" s="25" t="s">
        <v>417</v>
      </c>
      <c r="D500" s="25" t="s">
        <v>418</v>
      </c>
      <c r="E500" s="25" t="s">
        <v>134</v>
      </c>
      <c r="F500" s="34" t="s">
        <v>501</v>
      </c>
      <c r="G500" s="97">
        <f t="shared" si="196"/>
        <v>0</v>
      </c>
      <c r="H500" s="97">
        <f>H501</f>
        <v>0</v>
      </c>
      <c r="I500" s="97">
        <f aca="true" t="shared" si="200" ref="I500:P500">I501</f>
        <v>0</v>
      </c>
      <c r="J500" s="97">
        <f t="shared" si="200"/>
        <v>0</v>
      </c>
      <c r="K500" s="97">
        <f t="shared" si="200"/>
        <v>0</v>
      </c>
      <c r="L500" s="97">
        <f t="shared" si="198"/>
        <v>0</v>
      </c>
      <c r="M500" s="97">
        <f t="shared" si="200"/>
        <v>0</v>
      </c>
      <c r="N500" s="97">
        <f t="shared" si="200"/>
        <v>0</v>
      </c>
      <c r="O500" s="97">
        <f t="shared" si="200"/>
        <v>0</v>
      </c>
      <c r="P500" s="97">
        <f t="shared" si="200"/>
        <v>0</v>
      </c>
      <c r="Q500" s="97">
        <f t="shared" si="192"/>
        <v>0</v>
      </c>
      <c r="R500" s="97">
        <f>L500+G500</f>
        <v>0</v>
      </c>
      <c r="S500" s="4"/>
      <c r="T500" s="4"/>
    </row>
    <row r="501" spans="3:20" s="13" customFormat="1" ht="52.5" customHeight="1" hidden="1">
      <c r="C501" s="20"/>
      <c r="D501" s="20"/>
      <c r="E501" s="20"/>
      <c r="F501" s="26" t="s">
        <v>716</v>
      </c>
      <c r="G501" s="97">
        <f t="shared" si="196"/>
        <v>0</v>
      </c>
      <c r="H501" s="97">
        <f>437200-437200</f>
        <v>0</v>
      </c>
      <c r="I501" s="97"/>
      <c r="J501" s="97"/>
      <c r="K501" s="97">
        <f>3935300-3935300</f>
        <v>0</v>
      </c>
      <c r="L501" s="97">
        <f t="shared" si="198"/>
        <v>0</v>
      </c>
      <c r="M501" s="97"/>
      <c r="N501" s="98"/>
      <c r="O501" s="98"/>
      <c r="P501" s="98"/>
      <c r="Q501" s="97">
        <f t="shared" si="192"/>
        <v>0</v>
      </c>
      <c r="R501" s="98">
        <f>L501+G501</f>
        <v>0</v>
      </c>
      <c r="S501" s="23"/>
      <c r="T501" s="4"/>
    </row>
    <row r="502" spans="1:20" s="5" customFormat="1" ht="27" customHeight="1" hidden="1">
      <c r="A502" s="5">
        <v>2</v>
      </c>
      <c r="B502" s="5">
        <v>46</v>
      </c>
      <c r="C502" s="25" t="s">
        <v>345</v>
      </c>
      <c r="D502" s="25" t="s">
        <v>480</v>
      </c>
      <c r="E502" s="25" t="s">
        <v>134</v>
      </c>
      <c r="F502" s="34" t="s">
        <v>94</v>
      </c>
      <c r="G502" s="97">
        <f>10000-10000</f>
        <v>0</v>
      </c>
      <c r="H502" s="97"/>
      <c r="I502" s="97"/>
      <c r="J502" s="97"/>
      <c r="K502" s="149"/>
      <c r="L502" s="97">
        <f t="shared" si="198"/>
        <v>0</v>
      </c>
      <c r="M502" s="97"/>
      <c r="N502" s="149"/>
      <c r="O502" s="149"/>
      <c r="P502" s="149"/>
      <c r="Q502" s="97">
        <f t="shared" si="192"/>
        <v>0</v>
      </c>
      <c r="R502" s="98">
        <f>L502+G502</f>
        <v>0</v>
      </c>
      <c r="S502" s="195"/>
      <c r="T502" s="4"/>
    </row>
    <row r="503" spans="3:20" s="5" customFormat="1" ht="27" customHeight="1">
      <c r="C503" s="20" t="s">
        <v>61</v>
      </c>
      <c r="D503" s="20" t="s">
        <v>33</v>
      </c>
      <c r="E503" s="20"/>
      <c r="F503" s="22" t="s">
        <v>34</v>
      </c>
      <c r="G503" s="98">
        <f>G504</f>
        <v>63473000</v>
      </c>
      <c r="H503" s="98">
        <f aca="true" t="shared" si="201" ref="H503:R503">H504</f>
        <v>63473000</v>
      </c>
      <c r="I503" s="98">
        <f t="shared" si="201"/>
        <v>0</v>
      </c>
      <c r="J503" s="98">
        <f t="shared" si="201"/>
        <v>0</v>
      </c>
      <c r="K503" s="98">
        <f t="shared" si="201"/>
        <v>0</v>
      </c>
      <c r="L503" s="98">
        <f t="shared" si="201"/>
        <v>0</v>
      </c>
      <c r="M503" s="98">
        <f t="shared" si="201"/>
        <v>0</v>
      </c>
      <c r="N503" s="98">
        <f t="shared" si="201"/>
        <v>0</v>
      </c>
      <c r="O503" s="98">
        <f t="shared" si="201"/>
        <v>0</v>
      </c>
      <c r="P503" s="98">
        <f t="shared" si="201"/>
        <v>0</v>
      </c>
      <c r="Q503" s="98">
        <f t="shared" si="201"/>
        <v>0</v>
      </c>
      <c r="R503" s="98">
        <f t="shared" si="201"/>
        <v>63473000</v>
      </c>
      <c r="S503" s="195"/>
      <c r="T503" s="4"/>
    </row>
    <row r="504" spans="1:20" s="5" customFormat="1" ht="28.5" customHeight="1">
      <c r="A504" s="13">
        <v>4</v>
      </c>
      <c r="B504" s="5">
        <v>46</v>
      </c>
      <c r="C504" s="18" t="s">
        <v>346</v>
      </c>
      <c r="D504" s="18" t="s">
        <v>347</v>
      </c>
      <c r="E504" s="18" t="s">
        <v>122</v>
      </c>
      <c r="F504" s="34" t="s">
        <v>110</v>
      </c>
      <c r="G504" s="97">
        <f t="shared" si="196"/>
        <v>63473000</v>
      </c>
      <c r="H504" s="97">
        <v>63473000</v>
      </c>
      <c r="I504" s="97"/>
      <c r="J504" s="97"/>
      <c r="K504" s="97"/>
      <c r="L504" s="97">
        <f t="shared" si="198"/>
        <v>0</v>
      </c>
      <c r="M504" s="97"/>
      <c r="N504" s="146"/>
      <c r="O504" s="97"/>
      <c r="P504" s="97"/>
      <c r="Q504" s="97">
        <f t="shared" si="192"/>
        <v>0</v>
      </c>
      <c r="R504" s="98">
        <f>L504+G504</f>
        <v>63473000</v>
      </c>
      <c r="S504" s="4"/>
      <c r="T504" s="4"/>
    </row>
    <row r="505" spans="3:22" s="13" customFormat="1" ht="32.25" customHeight="1">
      <c r="C505" s="20"/>
      <c r="D505" s="20"/>
      <c r="E505" s="20"/>
      <c r="F505" s="45" t="s">
        <v>100</v>
      </c>
      <c r="G505" s="142">
        <f>G480+G493+G494+G498+G500+G502+G504+G490+G484+G486+G488</f>
        <v>68567599</v>
      </c>
      <c r="H505" s="142">
        <f aca="true" t="shared" si="202" ref="H505:R505">H480+H493+H494+H498+H500+H502+H504+H490+H484+H486+H488</f>
        <v>68567599</v>
      </c>
      <c r="I505" s="142">
        <f t="shared" si="202"/>
        <v>3912272</v>
      </c>
      <c r="J505" s="142">
        <f t="shared" si="202"/>
        <v>34100</v>
      </c>
      <c r="K505" s="142">
        <f t="shared" si="202"/>
        <v>0</v>
      </c>
      <c r="L505" s="142">
        <f t="shared" si="202"/>
        <v>14000</v>
      </c>
      <c r="M505" s="142">
        <f t="shared" si="202"/>
        <v>14000</v>
      </c>
      <c r="N505" s="142">
        <f t="shared" si="202"/>
        <v>0</v>
      </c>
      <c r="O505" s="142">
        <f t="shared" si="202"/>
        <v>0</v>
      </c>
      <c r="P505" s="142">
        <f t="shared" si="202"/>
        <v>0</v>
      </c>
      <c r="Q505" s="142">
        <f t="shared" si="202"/>
        <v>14000</v>
      </c>
      <c r="R505" s="142">
        <f t="shared" si="202"/>
        <v>68581599</v>
      </c>
      <c r="S505" s="66"/>
      <c r="T505" s="58"/>
      <c r="U505" s="24"/>
      <c r="V505" s="24"/>
    </row>
    <row r="506" spans="3:23" s="13" customFormat="1" ht="30" customHeight="1">
      <c r="C506" s="20"/>
      <c r="D506" s="20"/>
      <c r="E506" s="20"/>
      <c r="F506" s="22" t="s">
        <v>109</v>
      </c>
      <c r="G506" s="142">
        <f aca="true" t="shared" si="203" ref="G506:Q506">G476+G327+G505+G427+G272+G251+G113+G43+G447</f>
        <v>463679186.69</v>
      </c>
      <c r="H506" s="142">
        <f t="shared" si="203"/>
        <v>461870659.69</v>
      </c>
      <c r="I506" s="142">
        <f t="shared" si="203"/>
        <v>193200848.04999998</v>
      </c>
      <c r="J506" s="142">
        <f t="shared" si="203"/>
        <v>13497793.32</v>
      </c>
      <c r="K506" s="142">
        <f t="shared" si="203"/>
        <v>1808527</v>
      </c>
      <c r="L506" s="142">
        <f t="shared" si="203"/>
        <v>64552751.16</v>
      </c>
      <c r="M506" s="142">
        <f>M476+M327+M505+M427+M272+M251+M113+M43+M447</f>
        <v>51513824.16</v>
      </c>
      <c r="N506" s="142">
        <f t="shared" si="203"/>
        <v>9081227</v>
      </c>
      <c r="O506" s="142">
        <f t="shared" si="203"/>
        <v>1435218</v>
      </c>
      <c r="P506" s="142">
        <f t="shared" si="203"/>
        <v>118954</v>
      </c>
      <c r="Q506" s="142">
        <f t="shared" si="203"/>
        <v>55471524.16</v>
      </c>
      <c r="R506" s="98">
        <f>L506+G506</f>
        <v>528231937.85</v>
      </c>
      <c r="S506" s="66"/>
      <c r="T506" s="65"/>
      <c r="U506" s="95"/>
      <c r="V506" s="24"/>
      <c r="W506" s="24"/>
    </row>
    <row r="507" spans="3:22" s="59" customFormat="1" ht="42" customHeight="1">
      <c r="C507" s="25"/>
      <c r="D507" s="25"/>
      <c r="E507" s="25"/>
      <c r="F507" s="34" t="s">
        <v>532</v>
      </c>
      <c r="G507" s="97">
        <f>G116+G46+G362+G501+G402+G462+G463+G24</f>
        <v>68675777.36</v>
      </c>
      <c r="H507" s="97">
        <f>H116+H46+H362+H501+H402+H462+H463+H24</f>
        <v>68675777.36</v>
      </c>
      <c r="I507" s="97">
        <f>I116+I46+I362+I501+I402+I462+I463+I24</f>
        <v>46769049.14</v>
      </c>
      <c r="J507" s="97">
        <f>J116+J46+J362+J501+J402</f>
        <v>0</v>
      </c>
      <c r="K507" s="97">
        <f>K116+K46+K362+K501+K402</f>
        <v>0</v>
      </c>
      <c r="L507" s="97">
        <f aca="true" t="shared" si="204" ref="L507:Q507">L116+L46+L362+L501+L402+L415+L455</f>
        <v>8771158.56</v>
      </c>
      <c r="M507" s="97">
        <f t="shared" si="204"/>
        <v>5211158.5600000005</v>
      </c>
      <c r="N507" s="97">
        <f t="shared" si="204"/>
        <v>0</v>
      </c>
      <c r="O507" s="97">
        <f t="shared" si="204"/>
        <v>0</v>
      </c>
      <c r="P507" s="97">
        <f t="shared" si="204"/>
        <v>0</v>
      </c>
      <c r="Q507" s="97">
        <f t="shared" si="204"/>
        <v>8771158.56</v>
      </c>
      <c r="R507" s="97">
        <f>L507+G507</f>
        <v>77446935.92</v>
      </c>
      <c r="S507" s="4"/>
      <c r="T507" s="63"/>
      <c r="U507" s="60"/>
      <c r="V507" s="60"/>
    </row>
    <row r="508" spans="3:20" s="82" customFormat="1" ht="24.75" customHeight="1">
      <c r="C508" s="83"/>
      <c r="D508" s="83"/>
      <c r="E508" s="83"/>
      <c r="F508" s="84" t="s">
        <v>117</v>
      </c>
      <c r="G508" s="161">
        <f>H508+K508</f>
        <v>54926700</v>
      </c>
      <c r="H508" s="153">
        <f aca="true" t="shared" si="205" ref="H508:R508">H59</f>
        <v>54926700</v>
      </c>
      <c r="I508" s="153">
        <f t="shared" si="205"/>
        <v>45021885</v>
      </c>
      <c r="J508" s="153">
        <f t="shared" si="205"/>
        <v>0</v>
      </c>
      <c r="K508" s="153">
        <f t="shared" si="205"/>
        <v>0</v>
      </c>
      <c r="L508" s="153">
        <f t="shared" si="205"/>
        <v>0</v>
      </c>
      <c r="M508" s="153">
        <f t="shared" si="205"/>
        <v>0</v>
      </c>
      <c r="N508" s="153">
        <f t="shared" si="205"/>
        <v>0</v>
      </c>
      <c r="O508" s="153">
        <f t="shared" si="205"/>
        <v>0</v>
      </c>
      <c r="P508" s="153">
        <f t="shared" si="205"/>
        <v>0</v>
      </c>
      <c r="Q508" s="153">
        <f t="shared" si="205"/>
        <v>0</v>
      </c>
      <c r="R508" s="153">
        <f t="shared" si="205"/>
        <v>54926700</v>
      </c>
      <c r="S508" s="85"/>
      <c r="T508" s="85"/>
    </row>
    <row r="509" spans="3:22" s="86" customFormat="1" ht="21" customHeight="1">
      <c r="C509" s="87"/>
      <c r="D509" s="87"/>
      <c r="E509" s="87"/>
      <c r="F509" s="88" t="s">
        <v>118</v>
      </c>
      <c r="G509" s="154">
        <f aca="true" t="shared" si="206" ref="G509:R509">G123</f>
        <v>7787500</v>
      </c>
      <c r="H509" s="154">
        <f t="shared" si="206"/>
        <v>7787500</v>
      </c>
      <c r="I509" s="154">
        <f t="shared" si="206"/>
        <v>0</v>
      </c>
      <c r="J509" s="154">
        <f t="shared" si="206"/>
        <v>0</v>
      </c>
      <c r="K509" s="154">
        <f t="shared" si="206"/>
        <v>0</v>
      </c>
      <c r="L509" s="154">
        <f t="shared" si="206"/>
        <v>0</v>
      </c>
      <c r="M509" s="154">
        <f t="shared" si="206"/>
        <v>0</v>
      </c>
      <c r="N509" s="154">
        <f t="shared" si="206"/>
        <v>0</v>
      </c>
      <c r="O509" s="154">
        <f t="shared" si="206"/>
        <v>0</v>
      </c>
      <c r="P509" s="154">
        <f t="shared" si="206"/>
        <v>0</v>
      </c>
      <c r="Q509" s="154">
        <f t="shared" si="206"/>
        <v>0</v>
      </c>
      <c r="R509" s="154">
        <f t="shared" si="206"/>
        <v>7787500</v>
      </c>
      <c r="S509" s="187"/>
      <c r="T509" s="90"/>
      <c r="U509" s="91"/>
      <c r="V509" s="17"/>
    </row>
    <row r="510" spans="3:22" s="86" customFormat="1" ht="21" customHeight="1">
      <c r="C510" s="87"/>
      <c r="D510" s="87"/>
      <c r="E510" s="87"/>
      <c r="F510" s="88"/>
      <c r="G510" s="89"/>
      <c r="H510" s="89"/>
      <c r="I510" s="89"/>
      <c r="J510" s="89"/>
      <c r="K510" s="89"/>
      <c r="L510" s="89"/>
      <c r="M510" s="89"/>
      <c r="N510" s="89"/>
      <c r="O510" s="89"/>
      <c r="P510" s="89"/>
      <c r="Q510" s="89"/>
      <c r="R510" s="89"/>
      <c r="S510" s="187"/>
      <c r="T510" s="90"/>
      <c r="U510" s="91"/>
      <c r="V510" s="17"/>
    </row>
    <row r="511" spans="3:22" s="86" customFormat="1" ht="32.25" customHeight="1" hidden="1">
      <c r="C511" s="87"/>
      <c r="D511" s="87"/>
      <c r="E511" s="87"/>
      <c r="F511" s="188"/>
      <c r="G511" s="89"/>
      <c r="H511" s="89"/>
      <c r="I511" s="89"/>
      <c r="J511" s="89"/>
      <c r="K511" s="89"/>
      <c r="L511" s="89"/>
      <c r="M511" s="89"/>
      <c r="N511" s="89"/>
      <c r="O511" s="89"/>
      <c r="P511" s="89"/>
      <c r="Q511" s="89"/>
      <c r="R511" s="89"/>
      <c r="S511" s="187"/>
      <c r="T511" s="90"/>
      <c r="U511" s="91"/>
      <c r="V511" s="17"/>
    </row>
    <row r="512" spans="3:20" s="16" customFormat="1" ht="61.5" customHeight="1">
      <c r="C512" s="72"/>
      <c r="D512" s="72"/>
      <c r="E512" s="72"/>
      <c r="F512" s="143" t="s">
        <v>588</v>
      </c>
      <c r="G512" s="72"/>
      <c r="H512" s="72"/>
      <c r="I512" s="15"/>
      <c r="K512" s="72"/>
      <c r="L512" s="79"/>
      <c r="M512" s="79"/>
      <c r="N512" s="80"/>
      <c r="O512" s="79"/>
      <c r="P512" s="170" t="s">
        <v>589</v>
      </c>
      <c r="Q512" s="170"/>
      <c r="R512" s="170"/>
      <c r="S512" s="189"/>
      <c r="T512" s="81"/>
    </row>
    <row r="513" spans="3:20" s="16" customFormat="1" ht="25.5" customHeight="1">
      <c r="C513" s="96"/>
      <c r="D513" s="96"/>
      <c r="E513" s="96"/>
      <c r="F513" s="103"/>
      <c r="G513" s="104"/>
      <c r="H513" s="104"/>
      <c r="I513" s="105"/>
      <c r="J513" s="106"/>
      <c r="K513" s="107"/>
      <c r="L513" s="97"/>
      <c r="M513" s="108"/>
      <c r="N513" s="140"/>
      <c r="O513" s="109"/>
      <c r="P513" s="110"/>
      <c r="Q513" s="141"/>
      <c r="R513" s="144"/>
      <c r="S513" s="190"/>
      <c r="T513" s="110"/>
    </row>
    <row r="514" spans="3:20" s="16" customFormat="1" ht="25.5" customHeight="1">
      <c r="C514" s="96"/>
      <c r="D514" s="96"/>
      <c r="E514" s="96"/>
      <c r="F514" s="129"/>
      <c r="G514" s="157"/>
      <c r="H514" s="127"/>
      <c r="I514" s="127"/>
      <c r="J514" s="127"/>
      <c r="K514" s="127"/>
      <c r="L514" s="157"/>
      <c r="M514" s="128"/>
      <c r="N514" s="128"/>
      <c r="O514" s="127"/>
      <c r="P514" s="127"/>
      <c r="Q514" s="127"/>
      <c r="R514" s="162"/>
      <c r="S514" s="190"/>
      <c r="T514" s="110"/>
    </row>
    <row r="515" spans="3:20" s="16" customFormat="1" ht="19.5" customHeight="1">
      <c r="C515" s="96"/>
      <c r="D515" s="96"/>
      <c r="E515" s="96"/>
      <c r="F515" s="125"/>
      <c r="G515" s="128"/>
      <c r="H515" s="128"/>
      <c r="I515" s="128"/>
      <c r="J515" s="128"/>
      <c r="K515" s="128"/>
      <c r="L515" s="128"/>
      <c r="O515" s="128"/>
      <c r="P515" s="128"/>
      <c r="Q515" s="128"/>
      <c r="R515" s="126"/>
      <c r="S515" s="190"/>
      <c r="T515" s="110"/>
    </row>
    <row r="516" spans="3:20" s="16" customFormat="1" ht="24.75" customHeight="1">
      <c r="C516" s="15"/>
      <c r="D516" s="15"/>
      <c r="E516" s="15"/>
      <c r="F516" s="111"/>
      <c r="G516" s="158"/>
      <c r="H516" s="114"/>
      <c r="I516" s="113"/>
      <c r="J516" s="113"/>
      <c r="K516" s="113"/>
      <c r="L516" s="113"/>
      <c r="M516" s="113"/>
      <c r="N516" s="113"/>
      <c r="O516" s="113"/>
      <c r="P516" s="113"/>
      <c r="Q516" s="113"/>
      <c r="R516" s="126"/>
      <c r="S516" s="191"/>
      <c r="T516" s="112"/>
    </row>
    <row r="517" spans="3:20" s="16" customFormat="1" ht="25.5" customHeight="1">
      <c r="C517" s="15"/>
      <c r="D517" s="15"/>
      <c r="E517" s="15"/>
      <c r="F517" s="111"/>
      <c r="G517" s="114"/>
      <c r="H517" s="114"/>
      <c r="I517" s="114"/>
      <c r="J517" s="114"/>
      <c r="K517" s="114"/>
      <c r="L517" s="114"/>
      <c r="M517" s="114"/>
      <c r="N517" s="114"/>
      <c r="O517" s="114"/>
      <c r="P517" s="114"/>
      <c r="Q517" s="114"/>
      <c r="R517" s="126"/>
      <c r="S517" s="92"/>
      <c r="T517" s="119"/>
    </row>
    <row r="518" spans="6:20" ht="21" customHeight="1">
      <c r="F518" s="120"/>
      <c r="G518" s="114"/>
      <c r="H518" s="114"/>
      <c r="I518" s="114"/>
      <c r="J518" s="114"/>
      <c r="K518" s="114"/>
      <c r="L518" s="114"/>
      <c r="M518" s="114"/>
      <c r="N518" s="114"/>
      <c r="O518" s="114"/>
      <c r="P518" s="114"/>
      <c r="Q518" s="114"/>
      <c r="R518" s="126"/>
      <c r="S518" s="93"/>
      <c r="T518" s="121"/>
    </row>
    <row r="519" spans="6:20" ht="22.5">
      <c r="F519" s="111"/>
      <c r="G519" s="128"/>
      <c r="H519" s="128"/>
      <c r="I519" s="128"/>
      <c r="J519" s="128"/>
      <c r="K519" s="128"/>
      <c r="L519" s="128"/>
      <c r="M519" s="128"/>
      <c r="N519" s="128"/>
      <c r="O519" s="128"/>
      <c r="P519" s="128"/>
      <c r="Q519" s="128"/>
      <c r="R519" s="126"/>
      <c r="S519" s="93"/>
      <c r="T519" s="121"/>
    </row>
    <row r="520" spans="6:20" ht="22.5">
      <c r="F520" s="111"/>
      <c r="G520" s="128"/>
      <c r="H520" s="128"/>
      <c r="I520" s="128"/>
      <c r="J520" s="128"/>
      <c r="K520" s="128"/>
      <c r="L520" s="128"/>
      <c r="M520" s="128"/>
      <c r="N520" s="128"/>
      <c r="O520" s="128"/>
      <c r="P520" s="128"/>
      <c r="Q520" s="128"/>
      <c r="R520" s="126"/>
      <c r="S520" s="93"/>
      <c r="T520" s="121"/>
    </row>
    <row r="521" spans="6:20" ht="22.5">
      <c r="F521" s="111"/>
      <c r="G521" s="128"/>
      <c r="H521" s="128"/>
      <c r="I521" s="128"/>
      <c r="J521" s="128"/>
      <c r="K521" s="128"/>
      <c r="L521" s="128"/>
      <c r="M521" s="128"/>
      <c r="N521" s="128"/>
      <c r="O521" s="128"/>
      <c r="P521" s="128"/>
      <c r="Q521" s="128"/>
      <c r="R521" s="126"/>
      <c r="S521" s="93"/>
      <c r="T521" s="121"/>
    </row>
    <row r="522" spans="3:20" s="136" customFormat="1" ht="22.5">
      <c r="C522" s="137"/>
      <c r="D522" s="137"/>
      <c r="E522" s="137"/>
      <c r="F522" s="118"/>
      <c r="G522" s="130"/>
      <c r="H522" s="130"/>
      <c r="I522" s="130"/>
      <c r="J522" s="130"/>
      <c r="K522" s="130"/>
      <c r="L522" s="130"/>
      <c r="M522" s="130"/>
      <c r="N522" s="130"/>
      <c r="O522" s="130"/>
      <c r="P522" s="130"/>
      <c r="Q522" s="130"/>
      <c r="R522" s="126"/>
      <c r="S522" s="192"/>
      <c r="T522" s="138"/>
    </row>
    <row r="523" spans="6:20" ht="22.5">
      <c r="F523" s="118"/>
      <c r="G523" s="130"/>
      <c r="H523" s="130"/>
      <c r="I523" s="130"/>
      <c r="J523" s="130"/>
      <c r="K523" s="130"/>
      <c r="L523" s="130"/>
      <c r="M523" s="130"/>
      <c r="N523" s="130"/>
      <c r="O523" s="130"/>
      <c r="P523" s="130"/>
      <c r="Q523" s="130"/>
      <c r="R523" s="126"/>
      <c r="S523" s="93"/>
      <c r="T523" s="121"/>
    </row>
    <row r="524" spans="6:20" ht="22.5">
      <c r="F524" s="118"/>
      <c r="G524" s="130"/>
      <c r="H524" s="130"/>
      <c r="I524" s="130"/>
      <c r="J524" s="130"/>
      <c r="K524" s="130"/>
      <c r="L524" s="130"/>
      <c r="M524" s="130"/>
      <c r="N524" s="130"/>
      <c r="O524" s="130"/>
      <c r="P524" s="130"/>
      <c r="Q524" s="130"/>
      <c r="R524" s="126"/>
      <c r="S524" s="93"/>
      <c r="T524" s="121"/>
    </row>
    <row r="525" spans="6:20" ht="22.5">
      <c r="F525" s="118"/>
      <c r="G525" s="130"/>
      <c r="H525" s="130"/>
      <c r="I525" s="130"/>
      <c r="J525" s="130"/>
      <c r="K525" s="130"/>
      <c r="L525" s="130"/>
      <c r="M525" s="130"/>
      <c r="N525" s="130"/>
      <c r="O525" s="130"/>
      <c r="P525" s="130"/>
      <c r="Q525" s="130"/>
      <c r="R525" s="126"/>
      <c r="S525" s="93"/>
      <c r="T525" s="121"/>
    </row>
    <row r="526" spans="3:20" s="164" customFormat="1" ht="22.5">
      <c r="C526" s="163"/>
      <c r="D526" s="163"/>
      <c r="E526" s="163"/>
      <c r="F526" s="118"/>
      <c r="G526" s="128"/>
      <c r="H526" s="128"/>
      <c r="I526" s="93"/>
      <c r="J526" s="93"/>
      <c r="K526" s="115"/>
      <c r="L526" s="130"/>
      <c r="M526" s="93"/>
      <c r="N526" s="200"/>
      <c r="O526" s="93"/>
      <c r="P526" s="93"/>
      <c r="Q526" s="93"/>
      <c r="R526" s="126"/>
      <c r="S526" s="93"/>
      <c r="T526" s="121"/>
    </row>
    <row r="527" spans="6:20" ht="22.5">
      <c r="F527" s="118"/>
      <c r="G527" s="130"/>
      <c r="H527" s="130"/>
      <c r="I527" s="130"/>
      <c r="J527" s="130"/>
      <c r="K527" s="130"/>
      <c r="L527" s="130"/>
      <c r="M527" s="130"/>
      <c r="N527" s="130"/>
      <c r="O527" s="130"/>
      <c r="P527" s="130"/>
      <c r="Q527" s="130"/>
      <c r="R527" s="135"/>
      <c r="S527" s="116"/>
      <c r="T527" s="121"/>
    </row>
    <row r="528" spans="6:20" ht="22.5">
      <c r="F528" s="111"/>
      <c r="G528" s="128"/>
      <c r="H528" s="128"/>
      <c r="I528" s="128"/>
      <c r="J528" s="128"/>
      <c r="K528" s="128"/>
      <c r="L528" s="128"/>
      <c r="M528" s="128"/>
      <c r="N528" s="128"/>
      <c r="O528" s="128"/>
      <c r="P528" s="128"/>
      <c r="Q528" s="128"/>
      <c r="R528" s="126"/>
      <c r="S528" s="93"/>
      <c r="T528" s="121"/>
    </row>
    <row r="529" spans="6:20" ht="22.5">
      <c r="F529" s="111"/>
      <c r="G529" s="128"/>
      <c r="H529" s="128"/>
      <c r="I529" s="128"/>
      <c r="J529" s="128"/>
      <c r="K529" s="128"/>
      <c r="L529" s="128"/>
      <c r="M529" s="128"/>
      <c r="N529" s="128"/>
      <c r="O529" s="128"/>
      <c r="P529" s="128"/>
      <c r="Q529" s="128"/>
      <c r="R529" s="126"/>
      <c r="S529" s="192"/>
      <c r="T529" s="121"/>
    </row>
    <row r="530" spans="6:20" ht="22.5">
      <c r="F530" s="111"/>
      <c r="G530" s="128"/>
      <c r="H530" s="128"/>
      <c r="I530" s="128"/>
      <c r="J530" s="128"/>
      <c r="K530" s="128"/>
      <c r="L530" s="128"/>
      <c r="M530" s="128"/>
      <c r="N530" s="128"/>
      <c r="O530" s="128"/>
      <c r="P530" s="128"/>
      <c r="Q530" s="128"/>
      <c r="R530" s="126"/>
      <c r="S530" s="93"/>
      <c r="T530" s="121"/>
    </row>
    <row r="531" spans="6:20" ht="22.5">
      <c r="F531" s="111"/>
      <c r="G531" s="128"/>
      <c r="H531" s="128"/>
      <c r="I531" s="128"/>
      <c r="J531" s="128"/>
      <c r="K531" s="128"/>
      <c r="L531" s="128"/>
      <c r="M531" s="128"/>
      <c r="N531" s="128"/>
      <c r="O531" s="128"/>
      <c r="P531" s="128"/>
      <c r="Q531" s="128"/>
      <c r="R531" s="126"/>
      <c r="S531" s="93"/>
      <c r="T531" s="121"/>
    </row>
    <row r="532" spans="6:20" ht="22.5">
      <c r="F532" s="111"/>
      <c r="G532" s="128"/>
      <c r="H532" s="128"/>
      <c r="I532" s="128"/>
      <c r="J532" s="128"/>
      <c r="K532" s="128"/>
      <c r="L532" s="128"/>
      <c r="M532" s="128"/>
      <c r="N532" s="128"/>
      <c r="O532" s="128"/>
      <c r="P532" s="128"/>
      <c r="Q532" s="128"/>
      <c r="R532" s="126"/>
      <c r="S532" s="93"/>
      <c r="T532" s="121"/>
    </row>
    <row r="533" spans="6:20" ht="22.5">
      <c r="F533" s="111"/>
      <c r="G533" s="128"/>
      <c r="H533" s="128"/>
      <c r="I533" s="128"/>
      <c r="J533" s="128"/>
      <c r="K533" s="128"/>
      <c r="L533" s="128"/>
      <c r="M533" s="128"/>
      <c r="N533" s="128"/>
      <c r="O533" s="128"/>
      <c r="P533" s="128"/>
      <c r="Q533" s="128"/>
      <c r="R533" s="126"/>
      <c r="S533" s="93"/>
      <c r="T533" s="121"/>
    </row>
    <row r="534" spans="6:20" ht="22.5">
      <c r="F534" s="111"/>
      <c r="G534" s="128"/>
      <c r="H534" s="128"/>
      <c r="I534" s="128"/>
      <c r="J534" s="128"/>
      <c r="K534" s="128"/>
      <c r="L534" s="128"/>
      <c r="M534" s="128"/>
      <c r="N534" s="128"/>
      <c r="O534" s="128"/>
      <c r="P534" s="128"/>
      <c r="Q534" s="128"/>
      <c r="R534" s="126"/>
      <c r="S534" s="93"/>
      <c r="T534" s="121"/>
    </row>
    <row r="535" spans="6:20" ht="22.5">
      <c r="F535" s="111"/>
      <c r="G535" s="128"/>
      <c r="H535" s="128"/>
      <c r="I535" s="128"/>
      <c r="J535" s="128"/>
      <c r="K535" s="128"/>
      <c r="L535" s="128"/>
      <c r="M535" s="128"/>
      <c r="N535" s="128"/>
      <c r="O535" s="128"/>
      <c r="P535" s="128"/>
      <c r="Q535" s="128"/>
      <c r="R535" s="126"/>
      <c r="S535" s="93"/>
      <c r="T535" s="121"/>
    </row>
    <row r="536" spans="6:20" ht="22.5">
      <c r="F536" s="111"/>
      <c r="G536" s="128"/>
      <c r="H536" s="128"/>
      <c r="I536" s="128"/>
      <c r="J536" s="128"/>
      <c r="K536" s="128"/>
      <c r="L536" s="128"/>
      <c r="M536" s="128"/>
      <c r="N536" s="128"/>
      <c r="O536" s="128"/>
      <c r="P536" s="128"/>
      <c r="Q536" s="128"/>
      <c r="R536" s="126"/>
      <c r="S536" s="93"/>
      <c r="T536" s="121"/>
    </row>
    <row r="537" spans="6:20" ht="22.5">
      <c r="F537" s="111"/>
      <c r="G537" s="128"/>
      <c r="H537" s="128"/>
      <c r="I537" s="128"/>
      <c r="J537" s="128"/>
      <c r="K537" s="128"/>
      <c r="L537" s="128"/>
      <c r="M537" s="128"/>
      <c r="N537" s="128"/>
      <c r="O537" s="128"/>
      <c r="P537" s="128"/>
      <c r="Q537" s="128"/>
      <c r="R537" s="126"/>
      <c r="S537" s="93"/>
      <c r="T537" s="121"/>
    </row>
    <row r="538" spans="6:20" ht="22.5">
      <c r="F538" s="111"/>
      <c r="G538" s="128"/>
      <c r="H538" s="128"/>
      <c r="I538" s="128"/>
      <c r="J538" s="128"/>
      <c r="K538" s="128"/>
      <c r="L538" s="128"/>
      <c r="M538" s="128"/>
      <c r="N538" s="128"/>
      <c r="O538" s="128"/>
      <c r="P538" s="128"/>
      <c r="Q538" s="128"/>
      <c r="R538" s="126"/>
      <c r="S538" s="93"/>
      <c r="T538" s="121"/>
    </row>
    <row r="539" spans="6:20" ht="22.5">
      <c r="F539" s="111"/>
      <c r="G539" s="128"/>
      <c r="H539" s="128"/>
      <c r="I539" s="128"/>
      <c r="J539" s="128"/>
      <c r="K539" s="128"/>
      <c r="L539" s="128"/>
      <c r="M539" s="128"/>
      <c r="N539" s="128"/>
      <c r="O539" s="128"/>
      <c r="P539" s="128"/>
      <c r="Q539" s="128"/>
      <c r="R539" s="126"/>
      <c r="S539" s="93"/>
      <c r="T539" s="121"/>
    </row>
    <row r="540" spans="6:20" ht="22.5">
      <c r="F540" s="111"/>
      <c r="G540" s="128"/>
      <c r="H540" s="128"/>
      <c r="I540" s="128"/>
      <c r="J540" s="128"/>
      <c r="K540" s="128"/>
      <c r="L540" s="128"/>
      <c r="M540" s="128"/>
      <c r="N540" s="128"/>
      <c r="O540" s="128"/>
      <c r="P540" s="128"/>
      <c r="Q540" s="128"/>
      <c r="R540" s="126"/>
      <c r="S540" s="93"/>
      <c r="T540" s="121"/>
    </row>
    <row r="541" spans="6:20" ht="22.5">
      <c r="F541" s="111"/>
      <c r="G541" s="128"/>
      <c r="H541" s="128"/>
      <c r="I541" s="128"/>
      <c r="J541" s="128"/>
      <c r="K541" s="128"/>
      <c r="L541" s="128"/>
      <c r="M541" s="128"/>
      <c r="N541" s="128"/>
      <c r="O541" s="128"/>
      <c r="P541" s="128"/>
      <c r="Q541" s="128"/>
      <c r="R541" s="126"/>
      <c r="S541" s="93"/>
      <c r="T541" s="121"/>
    </row>
    <row r="542" spans="6:20" ht="22.5">
      <c r="F542" s="111"/>
      <c r="G542" s="128"/>
      <c r="H542" s="128"/>
      <c r="I542" s="128"/>
      <c r="J542" s="128"/>
      <c r="K542" s="128"/>
      <c r="L542" s="128"/>
      <c r="M542" s="128"/>
      <c r="N542" s="128"/>
      <c r="O542" s="128"/>
      <c r="P542" s="128"/>
      <c r="Q542" s="128"/>
      <c r="R542" s="126"/>
      <c r="S542" s="93"/>
      <c r="T542" s="121"/>
    </row>
    <row r="543" spans="6:20" ht="22.5">
      <c r="F543" s="111"/>
      <c r="G543" s="128"/>
      <c r="H543" s="128"/>
      <c r="I543" s="128"/>
      <c r="J543" s="128"/>
      <c r="K543" s="128"/>
      <c r="L543" s="128"/>
      <c r="M543" s="128"/>
      <c r="N543" s="128"/>
      <c r="O543" s="128"/>
      <c r="P543" s="128"/>
      <c r="Q543" s="128"/>
      <c r="R543" s="126"/>
      <c r="S543" s="93"/>
      <c r="T543" s="121"/>
    </row>
    <row r="544" spans="6:20" ht="22.5">
      <c r="F544" s="111"/>
      <c r="G544" s="128"/>
      <c r="H544" s="128"/>
      <c r="I544" s="128"/>
      <c r="J544" s="128"/>
      <c r="K544" s="128"/>
      <c r="L544" s="128"/>
      <c r="M544" s="128"/>
      <c r="N544" s="128"/>
      <c r="O544" s="128"/>
      <c r="P544" s="128"/>
      <c r="Q544" s="128"/>
      <c r="R544" s="126"/>
      <c r="S544" s="93"/>
      <c r="T544" s="121"/>
    </row>
    <row r="545" spans="6:20" ht="22.5">
      <c r="F545" s="111"/>
      <c r="G545" s="128"/>
      <c r="H545" s="128"/>
      <c r="I545" s="128"/>
      <c r="J545" s="128"/>
      <c r="K545" s="128"/>
      <c r="L545" s="128"/>
      <c r="M545" s="128"/>
      <c r="N545" s="128"/>
      <c r="O545" s="128"/>
      <c r="P545" s="128"/>
      <c r="Q545" s="128"/>
      <c r="R545" s="126"/>
      <c r="S545" s="93"/>
      <c r="T545" s="121"/>
    </row>
    <row r="546" spans="6:20" ht="22.5">
      <c r="F546" s="111"/>
      <c r="G546" s="128"/>
      <c r="H546" s="128"/>
      <c r="I546" s="128"/>
      <c r="J546" s="128"/>
      <c r="K546" s="128"/>
      <c r="L546" s="128"/>
      <c r="M546" s="128"/>
      <c r="N546" s="128"/>
      <c r="O546" s="128"/>
      <c r="P546" s="128"/>
      <c r="Q546" s="128"/>
      <c r="R546" s="126"/>
      <c r="S546" s="93"/>
      <c r="T546" s="121"/>
    </row>
    <row r="547" spans="6:20" ht="22.5">
      <c r="F547" s="111"/>
      <c r="G547" s="128"/>
      <c r="H547" s="128"/>
      <c r="I547" s="128"/>
      <c r="J547" s="128"/>
      <c r="K547" s="128"/>
      <c r="L547" s="128"/>
      <c r="M547" s="128"/>
      <c r="N547" s="128"/>
      <c r="O547" s="128"/>
      <c r="P547" s="128"/>
      <c r="Q547" s="128"/>
      <c r="R547" s="126"/>
      <c r="S547" s="93"/>
      <c r="T547" s="121"/>
    </row>
    <row r="548" spans="6:20" ht="22.5">
      <c r="F548" s="111"/>
      <c r="G548" s="128"/>
      <c r="H548" s="128"/>
      <c r="I548" s="128"/>
      <c r="J548" s="128"/>
      <c r="K548" s="128"/>
      <c r="L548" s="128"/>
      <c r="M548" s="128"/>
      <c r="N548" s="128"/>
      <c r="O548" s="128"/>
      <c r="P548" s="128"/>
      <c r="Q548" s="128"/>
      <c r="R548" s="126"/>
      <c r="S548" s="93"/>
      <c r="T548" s="121"/>
    </row>
    <row r="549" spans="6:20" ht="22.5">
      <c r="F549" s="111"/>
      <c r="G549" s="128"/>
      <c r="H549" s="128"/>
      <c r="I549" s="128"/>
      <c r="J549" s="128"/>
      <c r="K549" s="128"/>
      <c r="L549" s="128"/>
      <c r="M549" s="128"/>
      <c r="N549" s="128"/>
      <c r="O549" s="128"/>
      <c r="P549" s="128"/>
      <c r="Q549" s="128"/>
      <c r="R549" s="126"/>
      <c r="S549" s="93"/>
      <c r="T549" s="121"/>
    </row>
    <row r="550" spans="6:20" ht="22.5">
      <c r="F550" s="111"/>
      <c r="G550" s="128"/>
      <c r="H550" s="128"/>
      <c r="I550" s="128"/>
      <c r="J550" s="128"/>
      <c r="K550" s="128"/>
      <c r="L550" s="128"/>
      <c r="M550" s="128"/>
      <c r="N550" s="128"/>
      <c r="O550" s="128"/>
      <c r="P550" s="128"/>
      <c r="Q550" s="128"/>
      <c r="R550" s="126"/>
      <c r="S550" s="93"/>
      <c r="T550" s="121"/>
    </row>
    <row r="551" spans="6:20" ht="22.5">
      <c r="F551" s="111"/>
      <c r="G551" s="128"/>
      <c r="H551" s="128"/>
      <c r="I551" s="128"/>
      <c r="J551" s="128"/>
      <c r="K551" s="128"/>
      <c r="L551" s="128"/>
      <c r="M551" s="128"/>
      <c r="N551" s="128"/>
      <c r="O551" s="128"/>
      <c r="P551" s="128"/>
      <c r="Q551" s="128"/>
      <c r="R551" s="126"/>
      <c r="S551" s="93"/>
      <c r="T551" s="121"/>
    </row>
    <row r="552" spans="6:20" ht="22.5">
      <c r="F552" s="111"/>
      <c r="G552" s="128"/>
      <c r="H552" s="128"/>
      <c r="I552" s="128"/>
      <c r="J552" s="128"/>
      <c r="K552" s="128"/>
      <c r="L552" s="128"/>
      <c r="M552" s="128"/>
      <c r="N552" s="128"/>
      <c r="O552" s="128"/>
      <c r="P552" s="128"/>
      <c r="Q552" s="128"/>
      <c r="R552" s="126"/>
      <c r="S552" s="93"/>
      <c r="T552" s="121"/>
    </row>
    <row r="553" spans="6:20" ht="22.5">
      <c r="F553" s="111"/>
      <c r="G553" s="128"/>
      <c r="H553" s="128"/>
      <c r="I553" s="128"/>
      <c r="J553" s="128"/>
      <c r="K553" s="128"/>
      <c r="L553" s="128"/>
      <c r="M553" s="128"/>
      <c r="N553" s="128"/>
      <c r="O553" s="128"/>
      <c r="P553" s="128"/>
      <c r="Q553" s="128"/>
      <c r="R553" s="126"/>
      <c r="S553" s="93"/>
      <c r="T553" s="121"/>
    </row>
    <row r="554" spans="6:20" ht="22.5">
      <c r="F554" s="111"/>
      <c r="G554" s="128"/>
      <c r="H554" s="128"/>
      <c r="I554" s="128"/>
      <c r="J554" s="128"/>
      <c r="K554" s="128"/>
      <c r="L554" s="128"/>
      <c r="M554" s="128"/>
      <c r="N554" s="128"/>
      <c r="O554" s="128"/>
      <c r="P554" s="128"/>
      <c r="Q554" s="128"/>
      <c r="R554" s="126"/>
      <c r="S554" s="93"/>
      <c r="T554" s="121"/>
    </row>
    <row r="555" spans="6:20" ht="22.5">
      <c r="F555" s="111"/>
      <c r="G555" s="93"/>
      <c r="H555" s="116"/>
      <c r="I555" s="93"/>
      <c r="J555" s="93"/>
      <c r="K555" s="115"/>
      <c r="L555" s="93"/>
      <c r="M555" s="93"/>
      <c r="N555" s="201"/>
      <c r="O555" s="93"/>
      <c r="P555" s="93"/>
      <c r="Q555" s="93"/>
      <c r="R555" s="126"/>
      <c r="S555" s="93"/>
      <c r="T555" s="121"/>
    </row>
    <row r="556" spans="6:20" ht="22.5">
      <c r="F556" s="132"/>
      <c r="G556" s="133"/>
      <c r="H556" s="133"/>
      <c r="I556" s="133"/>
      <c r="J556" s="133"/>
      <c r="K556" s="133"/>
      <c r="L556" s="133"/>
      <c r="M556" s="133"/>
      <c r="N556" s="133"/>
      <c r="O556" s="133"/>
      <c r="P556" s="133"/>
      <c r="Q556" s="133"/>
      <c r="R556" s="134"/>
      <c r="S556" s="93"/>
      <c r="T556" s="121"/>
    </row>
    <row r="557" spans="6:20" ht="22.5">
      <c r="F557" s="111"/>
      <c r="G557" s="131"/>
      <c r="H557" s="131"/>
      <c r="I557" s="131"/>
      <c r="J557" s="131"/>
      <c r="K557" s="131"/>
      <c r="L557" s="131"/>
      <c r="M557" s="131"/>
      <c r="N557" s="131"/>
      <c r="O557" s="131"/>
      <c r="P557" s="131"/>
      <c r="Q557" s="131"/>
      <c r="R557" s="131"/>
      <c r="S557" s="93"/>
      <c r="T557" s="121"/>
    </row>
    <row r="558" spans="6:20" ht="22.5">
      <c r="F558" s="111"/>
      <c r="G558" s="93"/>
      <c r="H558" s="116"/>
      <c r="I558" s="93"/>
      <c r="J558" s="93"/>
      <c r="K558" s="115"/>
      <c r="L558" s="93"/>
      <c r="M558" s="93"/>
      <c r="N558" s="201"/>
      <c r="O558" s="93"/>
      <c r="P558" s="93"/>
      <c r="Q558" s="93"/>
      <c r="R558" s="94"/>
      <c r="S558" s="93"/>
      <c r="T558" s="121"/>
    </row>
    <row r="559" spans="6:20" ht="22.5">
      <c r="F559" s="111"/>
      <c r="G559" s="93"/>
      <c r="H559" s="116"/>
      <c r="I559" s="116"/>
      <c r="J559" s="116"/>
      <c r="K559" s="116"/>
      <c r="L559" s="116"/>
      <c r="M559" s="116"/>
      <c r="N559" s="116"/>
      <c r="O559" s="116"/>
      <c r="P559" s="116"/>
      <c r="Q559" s="116"/>
      <c r="R559" s="94"/>
      <c r="S559" s="93"/>
      <c r="T559" s="121"/>
    </row>
    <row r="560" spans="6:20" ht="22.5">
      <c r="F560" s="111"/>
      <c r="G560" s="93"/>
      <c r="H560" s="116"/>
      <c r="I560" s="116"/>
      <c r="J560" s="116"/>
      <c r="K560" s="116"/>
      <c r="L560" s="116"/>
      <c r="M560" s="116"/>
      <c r="N560" s="116"/>
      <c r="O560" s="116"/>
      <c r="P560" s="116"/>
      <c r="Q560" s="116"/>
      <c r="R560" s="94"/>
      <c r="S560" s="93"/>
      <c r="T560" s="121"/>
    </row>
    <row r="561" spans="6:20" ht="18">
      <c r="F561" s="117"/>
      <c r="G561" s="93"/>
      <c r="H561" s="116"/>
      <c r="I561" s="93"/>
      <c r="J561" s="93"/>
      <c r="K561" s="115"/>
      <c r="L561" s="93"/>
      <c r="M561" s="93"/>
      <c r="N561" s="201"/>
      <c r="O561" s="93"/>
      <c r="P561" s="93"/>
      <c r="Q561" s="93"/>
      <c r="R561" s="116"/>
      <c r="S561" s="93"/>
      <c r="T561" s="121"/>
    </row>
    <row r="562" spans="6:20" ht="18">
      <c r="F562" s="117"/>
      <c r="G562" s="93"/>
      <c r="H562" s="116"/>
      <c r="I562" s="116"/>
      <c r="J562" s="116"/>
      <c r="K562" s="116"/>
      <c r="L562" s="116"/>
      <c r="M562" s="116"/>
      <c r="N562" s="116"/>
      <c r="O562" s="116"/>
      <c r="P562" s="116"/>
      <c r="Q562" s="116"/>
      <c r="R562" s="116"/>
      <c r="S562" s="93"/>
      <c r="T562" s="121"/>
    </row>
    <row r="563" spans="6:20" ht="18">
      <c r="F563" s="117"/>
      <c r="G563" s="93"/>
      <c r="H563" s="116"/>
      <c r="I563" s="116"/>
      <c r="J563" s="116"/>
      <c r="K563" s="116"/>
      <c r="L563" s="116"/>
      <c r="M563" s="116"/>
      <c r="N563" s="116"/>
      <c r="O563" s="116"/>
      <c r="P563" s="116"/>
      <c r="Q563" s="116"/>
      <c r="R563" s="116"/>
      <c r="S563" s="93"/>
      <c r="T563" s="121"/>
    </row>
    <row r="564" spans="6:20" ht="18">
      <c r="F564" s="117"/>
      <c r="G564" s="93"/>
      <c r="H564" s="116"/>
      <c r="I564" s="93"/>
      <c r="J564" s="93"/>
      <c r="K564" s="115"/>
      <c r="L564" s="93"/>
      <c r="M564" s="93"/>
      <c r="N564" s="201"/>
      <c r="O564" s="93"/>
      <c r="P564" s="93"/>
      <c r="Q564" s="93"/>
      <c r="R564" s="116"/>
      <c r="S564" s="93"/>
      <c r="T564" s="121"/>
    </row>
    <row r="565" spans="6:20" ht="18">
      <c r="F565" s="117"/>
      <c r="G565" s="93"/>
      <c r="H565" s="116"/>
      <c r="I565" s="93"/>
      <c r="J565" s="93"/>
      <c r="K565" s="115"/>
      <c r="L565" s="93"/>
      <c r="M565" s="93"/>
      <c r="N565" s="201"/>
      <c r="O565" s="93"/>
      <c r="P565" s="93"/>
      <c r="Q565" s="93"/>
      <c r="R565" s="116"/>
      <c r="S565" s="93"/>
      <c r="T565" s="121"/>
    </row>
    <row r="566" spans="6:20" ht="18">
      <c r="F566" s="117"/>
      <c r="G566" s="93"/>
      <c r="H566" s="116"/>
      <c r="I566" s="93"/>
      <c r="J566" s="93"/>
      <c r="K566" s="115"/>
      <c r="L566" s="93"/>
      <c r="M566" s="93"/>
      <c r="N566" s="201"/>
      <c r="O566" s="93"/>
      <c r="P566" s="93"/>
      <c r="Q566" s="93"/>
      <c r="R566" s="116"/>
      <c r="S566" s="93"/>
      <c r="T566" s="121"/>
    </row>
    <row r="567" spans="6:20" ht="18">
      <c r="F567" s="117"/>
      <c r="G567" s="93"/>
      <c r="H567" s="116"/>
      <c r="I567" s="93"/>
      <c r="J567" s="93"/>
      <c r="K567" s="115"/>
      <c r="L567" s="93"/>
      <c r="M567" s="93"/>
      <c r="N567" s="201"/>
      <c r="O567" s="93"/>
      <c r="P567" s="93"/>
      <c r="Q567" s="93"/>
      <c r="R567" s="116"/>
      <c r="S567" s="93"/>
      <c r="T567" s="121"/>
    </row>
    <row r="568" spans="6:20" ht="18">
      <c r="F568" s="93"/>
      <c r="G568" s="93"/>
      <c r="H568" s="93"/>
      <c r="I568" s="93"/>
      <c r="J568" s="93"/>
      <c r="K568" s="115"/>
      <c r="L568" s="93"/>
      <c r="M568" s="93"/>
      <c r="N568" s="201"/>
      <c r="O568" s="93"/>
      <c r="P568" s="93"/>
      <c r="Q568" s="93"/>
      <c r="R568" s="94"/>
      <c r="S568" s="116"/>
      <c r="T568" s="121"/>
    </row>
    <row r="569" spans="6:20" ht="18">
      <c r="F569" s="93"/>
      <c r="G569" s="93"/>
      <c r="H569" s="93"/>
      <c r="I569" s="93"/>
      <c r="J569" s="93"/>
      <c r="K569" s="115"/>
      <c r="L569" s="93"/>
      <c r="M569" s="93"/>
      <c r="N569" s="201"/>
      <c r="O569" s="93"/>
      <c r="P569" s="93"/>
      <c r="Q569" s="93"/>
      <c r="R569" s="93"/>
      <c r="S569" s="93"/>
      <c r="T569" s="121"/>
    </row>
    <row r="570" spans="6:20" ht="18">
      <c r="F570" s="93"/>
      <c r="G570" s="93"/>
      <c r="H570" s="93"/>
      <c r="I570" s="93"/>
      <c r="J570" s="93"/>
      <c r="K570" s="115"/>
      <c r="L570" s="93"/>
      <c r="M570" s="93"/>
      <c r="N570" s="201"/>
      <c r="O570" s="93"/>
      <c r="P570" s="93"/>
      <c r="Q570" s="93"/>
      <c r="R570" s="93"/>
      <c r="S570" s="93"/>
      <c r="T570" s="121"/>
    </row>
    <row r="571" spans="6:20" ht="18">
      <c r="F571" s="93"/>
      <c r="G571" s="93"/>
      <c r="H571" s="93"/>
      <c r="I571" s="93"/>
      <c r="J571" s="93"/>
      <c r="K571" s="115"/>
      <c r="L571" s="93"/>
      <c r="M571" s="93"/>
      <c r="N571" s="201"/>
      <c r="O571" s="93"/>
      <c r="P571" s="93"/>
      <c r="Q571" s="93"/>
      <c r="R571" s="93"/>
      <c r="S571" s="93"/>
      <c r="T571" s="121"/>
    </row>
    <row r="572" spans="6:20" ht="18">
      <c r="F572" s="93"/>
      <c r="G572" s="93"/>
      <c r="H572" s="93"/>
      <c r="I572" s="93"/>
      <c r="J572" s="93"/>
      <c r="K572" s="115"/>
      <c r="L572" s="93"/>
      <c r="M572" s="93"/>
      <c r="N572" s="201"/>
      <c r="O572" s="93"/>
      <c r="P572" s="93"/>
      <c r="Q572" s="93"/>
      <c r="R572" s="93"/>
      <c r="S572" s="93"/>
      <c r="T572" s="121"/>
    </row>
    <row r="573" spans="6:20" ht="18">
      <c r="F573" s="93"/>
      <c r="G573" s="93"/>
      <c r="H573" s="93"/>
      <c r="I573" s="93"/>
      <c r="J573" s="93"/>
      <c r="K573" s="115"/>
      <c r="L573" s="93"/>
      <c r="M573" s="93"/>
      <c r="N573" s="201"/>
      <c r="O573" s="93"/>
      <c r="P573" s="93"/>
      <c r="Q573" s="93"/>
      <c r="R573" s="93"/>
      <c r="S573" s="93"/>
      <c r="T573" s="121"/>
    </row>
    <row r="574" spans="6:20" ht="18">
      <c r="F574" s="93"/>
      <c r="G574" s="93"/>
      <c r="H574" s="93"/>
      <c r="I574" s="93"/>
      <c r="J574" s="93"/>
      <c r="K574" s="115"/>
      <c r="L574" s="93"/>
      <c r="M574" s="93"/>
      <c r="N574" s="201"/>
      <c r="O574" s="93"/>
      <c r="P574" s="93"/>
      <c r="Q574" s="93"/>
      <c r="R574" s="93"/>
      <c r="S574" s="93"/>
      <c r="T574" s="121"/>
    </row>
    <row r="575" spans="6:20" ht="18">
      <c r="F575" s="93"/>
      <c r="G575" s="93"/>
      <c r="H575" s="93"/>
      <c r="I575" s="93"/>
      <c r="J575" s="93"/>
      <c r="K575" s="115"/>
      <c r="L575" s="93"/>
      <c r="M575" s="93"/>
      <c r="N575" s="201"/>
      <c r="O575" s="93"/>
      <c r="P575" s="93"/>
      <c r="Q575" s="93"/>
      <c r="R575" s="93"/>
      <c r="S575" s="93"/>
      <c r="T575" s="121"/>
    </row>
    <row r="576" spans="6:20" ht="18">
      <c r="F576" s="93"/>
      <c r="G576" s="93"/>
      <c r="H576" s="93"/>
      <c r="I576" s="93"/>
      <c r="J576" s="93"/>
      <c r="K576" s="115"/>
      <c r="L576" s="93"/>
      <c r="M576" s="93"/>
      <c r="N576" s="201"/>
      <c r="O576" s="93"/>
      <c r="P576" s="93"/>
      <c r="Q576" s="93"/>
      <c r="R576" s="93"/>
      <c r="S576" s="93"/>
      <c r="T576" s="121"/>
    </row>
    <row r="577" spans="6:20" ht="18">
      <c r="F577" s="93"/>
      <c r="G577" s="93"/>
      <c r="H577" s="93"/>
      <c r="I577" s="93"/>
      <c r="J577" s="93"/>
      <c r="K577" s="115"/>
      <c r="L577" s="93"/>
      <c r="M577" s="93"/>
      <c r="N577" s="201"/>
      <c r="O577" s="93"/>
      <c r="P577" s="93"/>
      <c r="Q577" s="93"/>
      <c r="R577" s="93"/>
      <c r="S577" s="93"/>
      <c r="T577" s="121"/>
    </row>
    <row r="578" spans="6:20" ht="18">
      <c r="F578" s="93"/>
      <c r="G578" s="93"/>
      <c r="H578" s="93"/>
      <c r="I578" s="93"/>
      <c r="J578" s="93"/>
      <c r="K578" s="115"/>
      <c r="L578" s="93"/>
      <c r="M578" s="93"/>
      <c r="N578" s="201"/>
      <c r="O578" s="93"/>
      <c r="P578" s="93"/>
      <c r="Q578" s="93"/>
      <c r="R578" s="93"/>
      <c r="S578" s="93"/>
      <c r="T578" s="121"/>
    </row>
    <row r="579" spans="6:20" ht="18">
      <c r="F579" s="93"/>
      <c r="G579" s="93"/>
      <c r="H579" s="93"/>
      <c r="I579" s="93"/>
      <c r="J579" s="93"/>
      <c r="K579" s="115"/>
      <c r="L579" s="93"/>
      <c r="M579" s="93"/>
      <c r="N579" s="201"/>
      <c r="O579" s="93"/>
      <c r="P579" s="93"/>
      <c r="Q579" s="93"/>
      <c r="R579" s="93"/>
      <c r="S579" s="93"/>
      <c r="T579" s="121"/>
    </row>
    <row r="580" spans="6:20" ht="18">
      <c r="F580" s="93"/>
      <c r="G580" s="93"/>
      <c r="H580" s="93"/>
      <c r="I580" s="93"/>
      <c r="J580" s="93"/>
      <c r="K580" s="115"/>
      <c r="L580" s="93"/>
      <c r="M580" s="93"/>
      <c r="N580" s="201"/>
      <c r="O580" s="93"/>
      <c r="P580" s="93"/>
      <c r="Q580" s="93"/>
      <c r="R580" s="93"/>
      <c r="S580" s="93"/>
      <c r="T580" s="121"/>
    </row>
    <row r="581" spans="6:20" ht="18">
      <c r="F581" s="93"/>
      <c r="G581" s="93"/>
      <c r="H581" s="93"/>
      <c r="I581" s="93"/>
      <c r="J581" s="93"/>
      <c r="K581" s="115"/>
      <c r="L581" s="93"/>
      <c r="M581" s="93"/>
      <c r="N581" s="201"/>
      <c r="O581" s="93"/>
      <c r="P581" s="93"/>
      <c r="Q581" s="93"/>
      <c r="R581" s="93"/>
      <c r="S581" s="93"/>
      <c r="T581" s="121"/>
    </row>
    <row r="582" spans="6:20" ht="18">
      <c r="F582" s="93"/>
      <c r="G582" s="93"/>
      <c r="H582" s="93"/>
      <c r="I582" s="93"/>
      <c r="J582" s="93"/>
      <c r="K582" s="115"/>
      <c r="L582" s="93"/>
      <c r="M582" s="93"/>
      <c r="N582" s="201"/>
      <c r="O582" s="93"/>
      <c r="P582" s="93"/>
      <c r="Q582" s="93"/>
      <c r="R582" s="93"/>
      <c r="S582" s="93"/>
      <c r="T582" s="121"/>
    </row>
    <row r="583" spans="6:20" ht="18">
      <c r="F583" s="93"/>
      <c r="G583" s="93"/>
      <c r="H583" s="93"/>
      <c r="I583" s="93"/>
      <c r="J583" s="93"/>
      <c r="K583" s="115"/>
      <c r="L583" s="93"/>
      <c r="M583" s="93"/>
      <c r="N583" s="201"/>
      <c r="O583" s="93"/>
      <c r="P583" s="93"/>
      <c r="Q583" s="93"/>
      <c r="R583" s="93"/>
      <c r="S583" s="93"/>
      <c r="T583" s="121"/>
    </row>
    <row r="584" spans="6:20" ht="18">
      <c r="F584" s="93"/>
      <c r="G584" s="93"/>
      <c r="H584" s="93"/>
      <c r="I584" s="93"/>
      <c r="J584" s="93"/>
      <c r="K584" s="115"/>
      <c r="L584" s="93"/>
      <c r="M584" s="93"/>
      <c r="N584" s="201"/>
      <c r="O584" s="93"/>
      <c r="P584" s="93"/>
      <c r="Q584" s="93"/>
      <c r="R584" s="93"/>
      <c r="S584" s="93"/>
      <c r="T584" s="121"/>
    </row>
    <row r="585" spans="6:20" ht="18">
      <c r="F585" s="93"/>
      <c r="G585" s="93"/>
      <c r="H585" s="93"/>
      <c r="I585" s="93"/>
      <c r="J585" s="93"/>
      <c r="K585" s="115"/>
      <c r="L585" s="93"/>
      <c r="M585" s="93"/>
      <c r="N585" s="201"/>
      <c r="O585" s="93"/>
      <c r="P585" s="93"/>
      <c r="Q585" s="93"/>
      <c r="R585" s="93"/>
      <c r="S585" s="93"/>
      <c r="T585" s="121"/>
    </row>
    <row r="586" spans="6:20" ht="18">
      <c r="F586" s="93"/>
      <c r="G586" s="93"/>
      <c r="H586" s="93"/>
      <c r="I586" s="93"/>
      <c r="J586" s="93"/>
      <c r="K586" s="115"/>
      <c r="L586" s="93"/>
      <c r="M586" s="93"/>
      <c r="N586" s="201"/>
      <c r="O586" s="93"/>
      <c r="P586" s="93"/>
      <c r="Q586" s="93"/>
      <c r="R586" s="93"/>
      <c r="S586" s="93"/>
      <c r="T586" s="121"/>
    </row>
    <row r="587" spans="6:20" ht="18">
      <c r="F587" s="93"/>
      <c r="G587" s="93"/>
      <c r="H587" s="93"/>
      <c r="I587" s="93"/>
      <c r="J587" s="93"/>
      <c r="K587" s="115"/>
      <c r="L587" s="93"/>
      <c r="M587" s="93"/>
      <c r="N587" s="201"/>
      <c r="O587" s="93"/>
      <c r="P587" s="93"/>
      <c r="Q587" s="93"/>
      <c r="R587" s="93"/>
      <c r="S587" s="93"/>
      <c r="T587" s="121"/>
    </row>
    <row r="588" spans="6:20" ht="18">
      <c r="F588" s="93"/>
      <c r="G588" s="93"/>
      <c r="H588" s="93"/>
      <c r="I588" s="93"/>
      <c r="J588" s="93"/>
      <c r="K588" s="115"/>
      <c r="L588" s="93"/>
      <c r="M588" s="93"/>
      <c r="N588" s="201"/>
      <c r="O588" s="93"/>
      <c r="P588" s="93"/>
      <c r="Q588" s="93"/>
      <c r="R588" s="93"/>
      <c r="S588" s="93"/>
      <c r="T588" s="121"/>
    </row>
    <row r="589" spans="6:20" ht="18">
      <c r="F589" s="93"/>
      <c r="G589" s="93"/>
      <c r="H589" s="93"/>
      <c r="I589" s="93"/>
      <c r="J589" s="93"/>
      <c r="K589" s="115"/>
      <c r="L589" s="93"/>
      <c r="M589" s="93"/>
      <c r="N589" s="201"/>
      <c r="O589" s="93"/>
      <c r="P589" s="93"/>
      <c r="Q589" s="93"/>
      <c r="R589" s="93"/>
      <c r="S589" s="93"/>
      <c r="T589" s="121"/>
    </row>
    <row r="590" spans="6:20" ht="18">
      <c r="F590" s="93"/>
      <c r="G590" s="93"/>
      <c r="H590" s="93"/>
      <c r="I590" s="93"/>
      <c r="J590" s="93"/>
      <c r="K590" s="115"/>
      <c r="L590" s="93"/>
      <c r="M590" s="93"/>
      <c r="N590" s="201"/>
      <c r="O590" s="93"/>
      <c r="P590" s="93"/>
      <c r="Q590" s="93"/>
      <c r="R590" s="93"/>
      <c r="S590" s="93"/>
      <c r="T590" s="121"/>
    </row>
    <row r="591" spans="6:20" ht="18">
      <c r="F591" s="93"/>
      <c r="G591" s="93"/>
      <c r="H591" s="93"/>
      <c r="I591" s="93"/>
      <c r="J591" s="93"/>
      <c r="K591" s="115"/>
      <c r="L591" s="93"/>
      <c r="M591" s="93"/>
      <c r="N591" s="201"/>
      <c r="O591" s="93"/>
      <c r="P591" s="93"/>
      <c r="Q591" s="93"/>
      <c r="R591" s="93"/>
      <c r="S591" s="93"/>
      <c r="T591" s="121"/>
    </row>
    <row r="592" spans="6:20" ht="18">
      <c r="F592" s="93"/>
      <c r="G592" s="93"/>
      <c r="H592" s="93"/>
      <c r="I592" s="93"/>
      <c r="J592" s="93"/>
      <c r="K592" s="115"/>
      <c r="L592" s="93"/>
      <c r="M592" s="93"/>
      <c r="N592" s="201"/>
      <c r="O592" s="93"/>
      <c r="P592" s="93"/>
      <c r="Q592" s="93"/>
      <c r="R592" s="93"/>
      <c r="S592" s="93"/>
      <c r="T592" s="121"/>
    </row>
    <row r="593" spans="6:20" ht="18">
      <c r="F593" s="93"/>
      <c r="G593" s="93"/>
      <c r="H593" s="93"/>
      <c r="I593" s="93"/>
      <c r="J593" s="93"/>
      <c r="K593" s="115"/>
      <c r="L593" s="93"/>
      <c r="M593" s="93"/>
      <c r="N593" s="201"/>
      <c r="O593" s="93"/>
      <c r="P593" s="93"/>
      <c r="Q593" s="93"/>
      <c r="R593" s="93"/>
      <c r="S593" s="93"/>
      <c r="T593" s="121"/>
    </row>
    <row r="594" spans="6:20" ht="18">
      <c r="F594" s="93"/>
      <c r="G594" s="93"/>
      <c r="H594" s="93"/>
      <c r="I594" s="93"/>
      <c r="J594" s="93"/>
      <c r="K594" s="115"/>
      <c r="L594" s="93"/>
      <c r="M594" s="93"/>
      <c r="N594" s="201"/>
      <c r="O594" s="93"/>
      <c r="P594" s="93"/>
      <c r="Q594" s="93"/>
      <c r="R594" s="93"/>
      <c r="S594" s="93"/>
      <c r="T594" s="121"/>
    </row>
    <row r="595" spans="6:20" ht="18">
      <c r="F595" s="93"/>
      <c r="G595" s="93"/>
      <c r="H595" s="93"/>
      <c r="I595" s="93"/>
      <c r="J595" s="93"/>
      <c r="K595" s="115"/>
      <c r="L595" s="93"/>
      <c r="M595" s="93"/>
      <c r="N595" s="201"/>
      <c r="O595" s="93"/>
      <c r="P595" s="93"/>
      <c r="Q595" s="93"/>
      <c r="R595" s="93"/>
      <c r="S595" s="93"/>
      <c r="T595" s="121"/>
    </row>
    <row r="596" spans="6:20" ht="18">
      <c r="F596" s="93"/>
      <c r="G596" s="93"/>
      <c r="H596" s="93"/>
      <c r="I596" s="93"/>
      <c r="J596" s="93"/>
      <c r="K596" s="115"/>
      <c r="L596" s="93"/>
      <c r="M596" s="93"/>
      <c r="N596" s="201"/>
      <c r="O596" s="93"/>
      <c r="P596" s="93"/>
      <c r="Q596" s="93"/>
      <c r="R596" s="93"/>
      <c r="S596" s="93"/>
      <c r="T596" s="121"/>
    </row>
    <row r="597" spans="6:20" ht="18">
      <c r="F597" s="93"/>
      <c r="G597" s="93"/>
      <c r="H597" s="93"/>
      <c r="I597" s="93"/>
      <c r="J597" s="93"/>
      <c r="K597" s="115"/>
      <c r="L597" s="93"/>
      <c r="M597" s="93"/>
      <c r="N597" s="201"/>
      <c r="O597" s="93"/>
      <c r="P597" s="93"/>
      <c r="Q597" s="93"/>
      <c r="R597" s="93"/>
      <c r="S597" s="93"/>
      <c r="T597" s="121"/>
    </row>
    <row r="598" spans="6:20" ht="18">
      <c r="F598" s="93"/>
      <c r="G598" s="93"/>
      <c r="H598" s="93"/>
      <c r="I598" s="93"/>
      <c r="J598" s="93"/>
      <c r="K598" s="115"/>
      <c r="L598" s="93"/>
      <c r="M598" s="93"/>
      <c r="N598" s="201"/>
      <c r="O598" s="93"/>
      <c r="P598" s="93"/>
      <c r="Q598" s="93"/>
      <c r="R598" s="93"/>
      <c r="S598" s="93"/>
      <c r="T598" s="121"/>
    </row>
    <row r="599" spans="6:20" ht="18">
      <c r="F599" s="93"/>
      <c r="G599" s="93"/>
      <c r="H599" s="93"/>
      <c r="I599" s="93"/>
      <c r="J599" s="93"/>
      <c r="K599" s="115"/>
      <c r="L599" s="93"/>
      <c r="M599" s="93"/>
      <c r="N599" s="201"/>
      <c r="O599" s="93"/>
      <c r="P599" s="93"/>
      <c r="Q599" s="93"/>
      <c r="R599" s="93"/>
      <c r="S599" s="93"/>
      <c r="T599" s="121"/>
    </row>
    <row r="600" spans="6:20" ht="18">
      <c r="F600" s="93"/>
      <c r="G600" s="93"/>
      <c r="H600" s="93"/>
      <c r="I600" s="93"/>
      <c r="J600" s="93"/>
      <c r="K600" s="115"/>
      <c r="L600" s="93"/>
      <c r="M600" s="93"/>
      <c r="N600" s="201"/>
      <c r="O600" s="93"/>
      <c r="P600" s="93"/>
      <c r="Q600" s="93"/>
      <c r="R600" s="93"/>
      <c r="S600" s="93"/>
      <c r="T600" s="121"/>
    </row>
    <row r="601" spans="6:20" ht="18">
      <c r="F601" s="93"/>
      <c r="G601" s="93"/>
      <c r="H601" s="93"/>
      <c r="I601" s="93"/>
      <c r="J601" s="93"/>
      <c r="K601" s="115"/>
      <c r="L601" s="93"/>
      <c r="M601" s="93"/>
      <c r="N601" s="201"/>
      <c r="O601" s="93"/>
      <c r="P601" s="93"/>
      <c r="Q601" s="93"/>
      <c r="R601" s="93"/>
      <c r="S601" s="93"/>
      <c r="T601" s="121"/>
    </row>
    <row r="602" spans="6:20" ht="18">
      <c r="F602" s="93"/>
      <c r="G602" s="93"/>
      <c r="H602" s="93"/>
      <c r="I602" s="93"/>
      <c r="J602" s="93"/>
      <c r="K602" s="115"/>
      <c r="L602" s="93"/>
      <c r="M602" s="93"/>
      <c r="N602" s="201"/>
      <c r="O602" s="93"/>
      <c r="P602" s="93"/>
      <c r="Q602" s="93"/>
      <c r="R602" s="93"/>
      <c r="S602" s="93"/>
      <c r="T602" s="121"/>
    </row>
    <row r="603" spans="6:20" ht="18">
      <c r="F603" s="93"/>
      <c r="G603" s="93"/>
      <c r="H603" s="93"/>
      <c r="I603" s="93"/>
      <c r="J603" s="93"/>
      <c r="K603" s="115"/>
      <c r="L603" s="93"/>
      <c r="M603" s="93"/>
      <c r="N603" s="201"/>
      <c r="O603" s="93"/>
      <c r="P603" s="93"/>
      <c r="Q603" s="93"/>
      <c r="R603" s="93"/>
      <c r="S603" s="93"/>
      <c r="T603" s="121"/>
    </row>
    <row r="604" spans="6:20" ht="18">
      <c r="F604" s="93"/>
      <c r="G604" s="93"/>
      <c r="H604" s="93"/>
      <c r="I604" s="93"/>
      <c r="J604" s="93"/>
      <c r="K604" s="115"/>
      <c r="L604" s="93"/>
      <c r="M604" s="93"/>
      <c r="N604" s="201"/>
      <c r="O604" s="93"/>
      <c r="P604" s="93"/>
      <c r="Q604" s="93"/>
      <c r="R604" s="93"/>
      <c r="S604" s="93"/>
      <c r="T604" s="121"/>
    </row>
    <row r="605" spans="6:20" ht="18">
      <c r="F605" s="93"/>
      <c r="G605" s="93"/>
      <c r="H605" s="93"/>
      <c r="I605" s="93"/>
      <c r="J605" s="93"/>
      <c r="K605" s="115"/>
      <c r="L605" s="93"/>
      <c r="M605" s="93"/>
      <c r="N605" s="201"/>
      <c r="O605" s="93"/>
      <c r="P605" s="93"/>
      <c r="Q605" s="93"/>
      <c r="R605" s="93"/>
      <c r="S605" s="93"/>
      <c r="T605" s="121"/>
    </row>
    <row r="606" spans="6:20" ht="18">
      <c r="F606" s="93"/>
      <c r="G606" s="93"/>
      <c r="H606" s="93"/>
      <c r="I606" s="93"/>
      <c r="J606" s="93"/>
      <c r="K606" s="115"/>
      <c r="L606" s="93"/>
      <c r="M606" s="93"/>
      <c r="N606" s="201"/>
      <c r="O606" s="93"/>
      <c r="P606" s="93"/>
      <c r="Q606" s="93"/>
      <c r="R606" s="93"/>
      <c r="S606" s="93"/>
      <c r="T606" s="121"/>
    </row>
    <row r="607" spans="6:20" ht="18">
      <c r="F607" s="93"/>
      <c r="G607" s="93"/>
      <c r="H607" s="93"/>
      <c r="I607" s="93"/>
      <c r="J607" s="93"/>
      <c r="K607" s="115"/>
      <c r="L607" s="93"/>
      <c r="M607" s="93"/>
      <c r="N607" s="201"/>
      <c r="O607" s="93"/>
      <c r="P607" s="93"/>
      <c r="Q607" s="93"/>
      <c r="R607" s="93"/>
      <c r="S607" s="93"/>
      <c r="T607" s="121"/>
    </row>
    <row r="608" spans="6:20" ht="18">
      <c r="F608" s="93"/>
      <c r="G608" s="93"/>
      <c r="H608" s="93"/>
      <c r="I608" s="93"/>
      <c r="J608" s="93"/>
      <c r="K608" s="115"/>
      <c r="L608" s="93"/>
      <c r="M608" s="93"/>
      <c r="N608" s="201"/>
      <c r="O608" s="93"/>
      <c r="P608" s="93"/>
      <c r="Q608" s="93"/>
      <c r="R608" s="93"/>
      <c r="S608" s="93"/>
      <c r="T608" s="121"/>
    </row>
    <row r="609" spans="6:20" ht="18">
      <c r="F609" s="93"/>
      <c r="G609" s="93"/>
      <c r="H609" s="93"/>
      <c r="I609" s="93"/>
      <c r="J609" s="93"/>
      <c r="K609" s="115"/>
      <c r="L609" s="93"/>
      <c r="M609" s="93"/>
      <c r="N609" s="201"/>
      <c r="O609" s="93"/>
      <c r="P609" s="93"/>
      <c r="Q609" s="93"/>
      <c r="R609" s="93"/>
      <c r="S609" s="93"/>
      <c r="T609" s="121"/>
    </row>
    <row r="610" spans="6:20" ht="18">
      <c r="F610" s="93"/>
      <c r="G610" s="93"/>
      <c r="H610" s="93"/>
      <c r="I610" s="93"/>
      <c r="J610" s="93"/>
      <c r="K610" s="115"/>
      <c r="L610" s="93"/>
      <c r="M610" s="93"/>
      <c r="N610" s="201"/>
      <c r="O610" s="93"/>
      <c r="P610" s="93"/>
      <c r="Q610" s="93"/>
      <c r="R610" s="93"/>
      <c r="S610" s="93"/>
      <c r="T610" s="121"/>
    </row>
    <row r="611" spans="6:20" ht="18">
      <c r="F611" s="93"/>
      <c r="G611" s="93"/>
      <c r="H611" s="93"/>
      <c r="I611" s="93"/>
      <c r="J611" s="93"/>
      <c r="K611" s="115"/>
      <c r="L611" s="93"/>
      <c r="M611" s="93"/>
      <c r="N611" s="201"/>
      <c r="O611" s="93"/>
      <c r="P611" s="93"/>
      <c r="Q611" s="93"/>
      <c r="R611" s="93"/>
      <c r="S611" s="93"/>
      <c r="T611" s="121"/>
    </row>
    <row r="612" spans="6:20" ht="18">
      <c r="F612" s="93"/>
      <c r="G612" s="93"/>
      <c r="H612" s="93"/>
      <c r="I612" s="93"/>
      <c r="J612" s="93"/>
      <c r="K612" s="115"/>
      <c r="L612" s="93"/>
      <c r="M612" s="93"/>
      <c r="N612" s="201"/>
      <c r="O612" s="93"/>
      <c r="P612" s="93"/>
      <c r="Q612" s="93"/>
      <c r="R612" s="93"/>
      <c r="S612" s="93"/>
      <c r="T612" s="121"/>
    </row>
    <row r="613" spans="6:20" ht="18">
      <c r="F613" s="93"/>
      <c r="G613" s="93"/>
      <c r="H613" s="93"/>
      <c r="I613" s="93"/>
      <c r="J613" s="93"/>
      <c r="K613" s="115"/>
      <c r="L613" s="93"/>
      <c r="M613" s="93"/>
      <c r="N613" s="201"/>
      <c r="O613" s="93"/>
      <c r="P613" s="93"/>
      <c r="Q613" s="93"/>
      <c r="R613" s="93"/>
      <c r="S613" s="93"/>
      <c r="T613" s="121"/>
    </row>
    <row r="614" spans="6:20" ht="18">
      <c r="F614" s="93"/>
      <c r="G614" s="93"/>
      <c r="H614" s="93"/>
      <c r="I614" s="93"/>
      <c r="J614" s="93"/>
      <c r="K614" s="115"/>
      <c r="L614" s="93"/>
      <c r="M614" s="93"/>
      <c r="N614" s="201"/>
      <c r="O614" s="93"/>
      <c r="P614" s="93"/>
      <c r="Q614" s="93"/>
      <c r="R614" s="93"/>
      <c r="S614" s="93"/>
      <c r="T614" s="121"/>
    </row>
    <row r="615" spans="6:20" ht="18">
      <c r="F615" s="93"/>
      <c r="G615" s="93"/>
      <c r="H615" s="93"/>
      <c r="I615" s="93"/>
      <c r="J615" s="93"/>
      <c r="K615" s="115"/>
      <c r="L615" s="93"/>
      <c r="M615" s="93"/>
      <c r="N615" s="201"/>
      <c r="O615" s="93"/>
      <c r="P615" s="93"/>
      <c r="Q615" s="93"/>
      <c r="R615" s="93"/>
      <c r="S615" s="93"/>
      <c r="T615" s="121"/>
    </row>
    <row r="616" spans="6:20" ht="18">
      <c r="F616" s="93"/>
      <c r="G616" s="93"/>
      <c r="H616" s="93"/>
      <c r="I616" s="93"/>
      <c r="J616" s="93"/>
      <c r="K616" s="115"/>
      <c r="L616" s="93"/>
      <c r="M616" s="93"/>
      <c r="N616" s="201"/>
      <c r="O616" s="93"/>
      <c r="P616" s="93"/>
      <c r="Q616" s="93"/>
      <c r="R616" s="93"/>
      <c r="S616" s="93"/>
      <c r="T616" s="121"/>
    </row>
    <row r="617" spans="6:20" ht="18">
      <c r="F617" s="93"/>
      <c r="G617" s="93"/>
      <c r="H617" s="93"/>
      <c r="I617" s="93"/>
      <c r="J617" s="93"/>
      <c r="K617" s="115"/>
      <c r="L617" s="93"/>
      <c r="M617" s="93"/>
      <c r="N617" s="201"/>
      <c r="O617" s="93"/>
      <c r="P617" s="93"/>
      <c r="Q617" s="93"/>
      <c r="R617" s="93"/>
      <c r="S617" s="93"/>
      <c r="T617" s="121"/>
    </row>
    <row r="618" spans="6:20" ht="18">
      <c r="F618" s="93"/>
      <c r="G618" s="93"/>
      <c r="H618" s="93"/>
      <c r="I618" s="93"/>
      <c r="J618" s="93"/>
      <c r="K618" s="115"/>
      <c r="L618" s="93"/>
      <c r="M618" s="93"/>
      <c r="N618" s="201"/>
      <c r="O618" s="93"/>
      <c r="P618" s="93"/>
      <c r="Q618" s="93"/>
      <c r="R618" s="93"/>
      <c r="S618" s="93"/>
      <c r="T618" s="121"/>
    </row>
    <row r="619" spans="6:20" ht="18">
      <c r="F619" s="93"/>
      <c r="G619" s="93"/>
      <c r="H619" s="93"/>
      <c r="I619" s="93"/>
      <c r="J619" s="93"/>
      <c r="K619" s="115"/>
      <c r="L619" s="93"/>
      <c r="M619" s="93"/>
      <c r="N619" s="201"/>
      <c r="O619" s="93"/>
      <c r="P619" s="93"/>
      <c r="Q619" s="93"/>
      <c r="R619" s="93"/>
      <c r="S619" s="93"/>
      <c r="T619" s="121"/>
    </row>
    <row r="620" spans="6:20" ht="18">
      <c r="F620" s="93"/>
      <c r="G620" s="93"/>
      <c r="H620" s="93"/>
      <c r="I620" s="93"/>
      <c r="J620" s="93"/>
      <c r="K620" s="115"/>
      <c r="L620" s="93"/>
      <c r="M620" s="93"/>
      <c r="N620" s="201"/>
      <c r="O620" s="93"/>
      <c r="P620" s="93"/>
      <c r="Q620" s="93"/>
      <c r="R620" s="93"/>
      <c r="S620" s="93"/>
      <c r="T620" s="121"/>
    </row>
    <row r="621" spans="6:20" ht="18">
      <c r="F621" s="93"/>
      <c r="G621" s="93"/>
      <c r="H621" s="93"/>
      <c r="I621" s="93"/>
      <c r="J621" s="93"/>
      <c r="K621" s="115"/>
      <c r="L621" s="93"/>
      <c r="M621" s="93"/>
      <c r="N621" s="201"/>
      <c r="O621" s="93"/>
      <c r="P621" s="93"/>
      <c r="Q621" s="93"/>
      <c r="R621" s="93"/>
      <c r="S621" s="93"/>
      <c r="T621" s="121"/>
    </row>
    <row r="622" spans="6:20" ht="18">
      <c r="F622" s="93"/>
      <c r="G622" s="93"/>
      <c r="H622" s="93"/>
      <c r="I622" s="93"/>
      <c r="J622" s="93"/>
      <c r="K622" s="115"/>
      <c r="L622" s="93"/>
      <c r="M622" s="93"/>
      <c r="N622" s="201"/>
      <c r="O622" s="93"/>
      <c r="P622" s="93"/>
      <c r="Q622" s="93"/>
      <c r="R622" s="93"/>
      <c r="S622" s="93"/>
      <c r="T622" s="121"/>
    </row>
    <row r="623" spans="6:20" ht="18">
      <c r="F623" s="93"/>
      <c r="G623" s="93"/>
      <c r="H623" s="93"/>
      <c r="I623" s="93"/>
      <c r="J623" s="93"/>
      <c r="K623" s="115"/>
      <c r="L623" s="93"/>
      <c r="M623" s="93"/>
      <c r="N623" s="201"/>
      <c r="O623" s="93"/>
      <c r="P623" s="93"/>
      <c r="Q623" s="93"/>
      <c r="R623" s="93"/>
      <c r="S623" s="93"/>
      <c r="T623" s="121"/>
    </row>
    <row r="624" spans="6:20" ht="18">
      <c r="F624" s="93"/>
      <c r="G624" s="93"/>
      <c r="H624" s="93"/>
      <c r="I624" s="93"/>
      <c r="J624" s="93"/>
      <c r="K624" s="115"/>
      <c r="L624" s="93"/>
      <c r="M624" s="93"/>
      <c r="N624" s="201"/>
      <c r="O624" s="93"/>
      <c r="P624" s="93"/>
      <c r="Q624" s="93"/>
      <c r="R624" s="93"/>
      <c r="S624" s="93"/>
      <c r="T624" s="121"/>
    </row>
    <row r="625" spans="6:20" ht="18">
      <c r="F625" s="93"/>
      <c r="G625" s="93"/>
      <c r="H625" s="93"/>
      <c r="I625" s="93"/>
      <c r="J625" s="93"/>
      <c r="K625" s="115"/>
      <c r="L625" s="93"/>
      <c r="M625" s="93"/>
      <c r="N625" s="201"/>
      <c r="O625" s="93"/>
      <c r="P625" s="93"/>
      <c r="Q625" s="93"/>
      <c r="R625" s="93"/>
      <c r="S625" s="93"/>
      <c r="T625" s="121"/>
    </row>
    <row r="626" spans="6:20" ht="18">
      <c r="F626" s="93"/>
      <c r="G626" s="93"/>
      <c r="H626" s="93"/>
      <c r="I626" s="93"/>
      <c r="J626" s="93"/>
      <c r="K626" s="115"/>
      <c r="L626" s="93"/>
      <c r="M626" s="93"/>
      <c r="N626" s="201"/>
      <c r="O626" s="93"/>
      <c r="P626" s="93"/>
      <c r="Q626" s="93"/>
      <c r="R626" s="93"/>
      <c r="S626" s="93"/>
      <c r="T626" s="121"/>
    </row>
  </sheetData>
  <sheetProtection/>
  <mergeCells count="26">
    <mergeCell ref="P512:R512"/>
    <mergeCell ref="I10:J10"/>
    <mergeCell ref="C9:C12"/>
    <mergeCell ref="D9:D12"/>
    <mergeCell ref="K10:K12"/>
    <mergeCell ref="P11:P12"/>
    <mergeCell ref="G9:K9"/>
    <mergeCell ref="L9:Q9"/>
    <mergeCell ref="R9:R12"/>
    <mergeCell ref="L10:L12"/>
    <mergeCell ref="M10:M12"/>
    <mergeCell ref="N10:N12"/>
    <mergeCell ref="E9:E12"/>
    <mergeCell ref="F9:F12"/>
    <mergeCell ref="G10:G12"/>
    <mergeCell ref="H10:H12"/>
    <mergeCell ref="C5:R5"/>
    <mergeCell ref="C7:D7"/>
    <mergeCell ref="C8:D8"/>
    <mergeCell ref="S9:S12"/>
    <mergeCell ref="O10:P10"/>
    <mergeCell ref="Q10:Q12"/>
    <mergeCell ref="I11:I12"/>
    <mergeCell ref="J11:J12"/>
    <mergeCell ref="O11:O12"/>
    <mergeCell ref="C6:R6"/>
  </mergeCells>
  <conditionalFormatting sqref="N59:P59 N91:P94 N502:P502 K502 K491 N491:P491 N496:P497 K496:K497 H336:K339 T194 N338:P338 K499 N499:P499 S499 S336:S342 S496:S497 S502:S503 S491:S493 S89:S90 N21:P21 S21 H21:K21 N458:P458 S457:S459 H457:K458 M457:P457 T286:T296 T311:T314 N86:P87 S86:S87 N342:P342 H341:K342 M341:P341 H77:K77 N65:P65 S65:S82 N70:P76 N54:N57 S54:S57 M77:P82 N493:P493 K493 N62:P63 S62:S63">
    <cfRule type="cellIs" priority="77" dxfId="44" operator="equal" stopIfTrue="1">
      <formula>0</formula>
    </cfRule>
  </conditionalFormatting>
  <conditionalFormatting sqref="S91:S94">
    <cfRule type="cellIs" priority="63" dxfId="44" operator="equal" stopIfTrue="1">
      <formula>0</formula>
    </cfRule>
  </conditionalFormatting>
  <conditionalFormatting sqref="N436:P436 I436:K436 I439:K439 N439:P439 S439 S436:S437">
    <cfRule type="cellIs" priority="61" dxfId="44" operator="equal" stopIfTrue="1">
      <formula>0</formula>
    </cfRule>
  </conditionalFormatting>
  <conditionalFormatting sqref="T388:T389">
    <cfRule type="cellIs" priority="53" dxfId="44" operator="equal" stopIfTrue="1">
      <formula>0</formula>
    </cfRule>
  </conditionalFormatting>
  <conditionalFormatting sqref="T195:T199">
    <cfRule type="cellIs" priority="48" dxfId="44" operator="equal" stopIfTrue="1">
      <formula>0</formula>
    </cfRule>
  </conditionalFormatting>
  <conditionalFormatting sqref="I441:K443 S441:S444 M442 N441:P443">
    <cfRule type="cellIs" priority="46" dxfId="44" operator="equal" stopIfTrue="1">
      <formula>0</formula>
    </cfRule>
  </conditionalFormatting>
  <conditionalFormatting sqref="T297:T302">
    <cfRule type="cellIs" priority="44" dxfId="44" operator="equal" stopIfTrue="1">
      <formula>0</formula>
    </cfRule>
  </conditionalFormatting>
  <conditionalFormatting sqref="N60:P61">
    <cfRule type="cellIs" priority="43" dxfId="44" operator="equal" stopIfTrue="1">
      <formula>0</formula>
    </cfRule>
  </conditionalFormatting>
  <conditionalFormatting sqref="S60:S61">
    <cfRule type="cellIs" priority="42" dxfId="44" operator="equal" stopIfTrue="1">
      <formula>0</formula>
    </cfRule>
  </conditionalFormatting>
  <conditionalFormatting sqref="H28:K28 M28:P28">
    <cfRule type="cellIs" priority="39" dxfId="44" operator="equal" stopIfTrue="1">
      <formula>0</formula>
    </cfRule>
  </conditionalFormatting>
  <conditionalFormatting sqref="H30:K30 M30:P30">
    <cfRule type="cellIs" priority="38" dxfId="44" operator="equal" stopIfTrue="1">
      <formula>0</formula>
    </cfRule>
  </conditionalFormatting>
  <conditionalFormatting sqref="H32:K33 M32:P33">
    <cfRule type="cellIs" priority="37" dxfId="44" operator="equal" stopIfTrue="1">
      <formula>0</formula>
    </cfRule>
  </conditionalFormatting>
  <conditionalFormatting sqref="H36:K37 M36:P37">
    <cfRule type="cellIs" priority="36" dxfId="44" operator="equal" stopIfTrue="1">
      <formula>0</formula>
    </cfRule>
  </conditionalFormatting>
  <conditionalFormatting sqref="N40:P40 H40:K40">
    <cfRule type="cellIs" priority="35" dxfId="44" operator="equal" stopIfTrue="1">
      <formula>0</formula>
    </cfRule>
  </conditionalFormatting>
  <conditionalFormatting sqref="H53:K53 M53:P53">
    <cfRule type="cellIs" priority="34" dxfId="44" operator="equal" stopIfTrue="1">
      <formula>0</formula>
    </cfRule>
  </conditionalFormatting>
  <conditionalFormatting sqref="H58:K58 M58:Q58">
    <cfRule type="cellIs" priority="33" dxfId="44" operator="equal" stopIfTrue="1">
      <formula>0</formula>
    </cfRule>
  </conditionalFormatting>
  <conditionalFormatting sqref="H83:K83 M83:P83">
    <cfRule type="cellIs" priority="32" dxfId="44" operator="equal" stopIfTrue="1">
      <formula>0</formula>
    </cfRule>
  </conditionalFormatting>
  <conditionalFormatting sqref="H88:Q88">
    <cfRule type="cellIs" priority="31" dxfId="44" operator="equal" stopIfTrue="1">
      <formula>0</formula>
    </cfRule>
  </conditionalFormatting>
  <conditionalFormatting sqref="G95:K95 M95:P95">
    <cfRule type="cellIs" priority="30" dxfId="44" operator="equal" stopIfTrue="1">
      <formula>0</formula>
    </cfRule>
  </conditionalFormatting>
  <conditionalFormatting sqref="H103:K103 M103:P103">
    <cfRule type="cellIs" priority="29" dxfId="44" operator="equal" stopIfTrue="1">
      <formula>0</formula>
    </cfRule>
  </conditionalFormatting>
  <conditionalFormatting sqref="H106:K106 M106:P106">
    <cfRule type="cellIs" priority="28" dxfId="44" operator="equal" stopIfTrue="1">
      <formula>0</formula>
    </cfRule>
  </conditionalFormatting>
  <conditionalFormatting sqref="H122:K122 M122:Q122">
    <cfRule type="cellIs" priority="27" dxfId="44" operator="equal" stopIfTrue="1">
      <formula>0</formula>
    </cfRule>
  </conditionalFormatting>
  <conditionalFormatting sqref="H130:K130 M130:P130">
    <cfRule type="cellIs" priority="26" dxfId="44" operator="equal" stopIfTrue="1">
      <formula>0</formula>
    </cfRule>
  </conditionalFormatting>
  <conditionalFormatting sqref="H140:K140 M140:P140">
    <cfRule type="cellIs" priority="25" dxfId="44" operator="equal" stopIfTrue="1">
      <formula>0</formula>
    </cfRule>
  </conditionalFormatting>
  <conditionalFormatting sqref="H153:K153 M153:P153">
    <cfRule type="cellIs" priority="24" dxfId="44" operator="equal" stopIfTrue="1">
      <formula>0</formula>
    </cfRule>
  </conditionalFormatting>
  <conditionalFormatting sqref="H167:K167 M167:P167">
    <cfRule type="cellIs" priority="23" dxfId="44" operator="equal" stopIfTrue="1">
      <formula>0</formula>
    </cfRule>
  </conditionalFormatting>
  <conditionalFormatting sqref="H170:K170 M170:P170">
    <cfRule type="cellIs" priority="22" dxfId="44" operator="equal" stopIfTrue="1">
      <formula>0</formula>
    </cfRule>
  </conditionalFormatting>
  <conditionalFormatting sqref="H228:K228 M228:P228">
    <cfRule type="cellIs" priority="8" dxfId="44" operator="equal" stopIfTrue="1">
      <formula>0</formula>
    </cfRule>
  </conditionalFormatting>
  <conditionalFormatting sqref="H172:K172 M172:P172">
    <cfRule type="cellIs" priority="21" dxfId="44" operator="equal" stopIfTrue="1">
      <formula>0</formula>
    </cfRule>
  </conditionalFormatting>
  <conditionalFormatting sqref="H175:K175 M175:P175">
    <cfRule type="cellIs" priority="20" dxfId="44" operator="equal" stopIfTrue="1">
      <formula>0</formula>
    </cfRule>
  </conditionalFormatting>
  <conditionalFormatting sqref="H194:K194 M194:P194">
    <cfRule type="cellIs" priority="19" dxfId="44" operator="equal" stopIfTrue="1">
      <formula>0</formula>
    </cfRule>
  </conditionalFormatting>
  <conditionalFormatting sqref="H213:K213 M213:P213">
    <cfRule type="cellIs" priority="11" dxfId="44" operator="equal" stopIfTrue="1">
      <formula>0</formula>
    </cfRule>
  </conditionalFormatting>
  <conditionalFormatting sqref="H219:K219 M219:P219">
    <cfRule type="cellIs" priority="10" dxfId="44" operator="equal" stopIfTrue="1">
      <formula>0</formula>
    </cfRule>
  </conditionalFormatting>
  <conditionalFormatting sqref="H223:K223 M223:P223">
    <cfRule type="cellIs" priority="9" dxfId="44" operator="equal" stopIfTrue="1">
      <formula>0</formula>
    </cfRule>
  </conditionalFormatting>
  <conditionalFormatting sqref="H233:K233 M233:P233">
    <cfRule type="cellIs" priority="7" dxfId="44" operator="equal" stopIfTrue="1">
      <formula>0</formula>
    </cfRule>
  </conditionalFormatting>
  <conditionalFormatting sqref="H210:K210 M210:P210">
    <cfRule type="cellIs" priority="15" dxfId="44" operator="equal" stopIfTrue="1">
      <formula>0</formula>
    </cfRule>
  </conditionalFormatting>
  <conditionalFormatting sqref="H200:K200 M200:P200">
    <cfRule type="cellIs" priority="14" dxfId="44" operator="equal" stopIfTrue="1">
      <formula>0</formula>
    </cfRule>
  </conditionalFormatting>
  <conditionalFormatting sqref="H239:K239 M239:P239">
    <cfRule type="cellIs" priority="6" dxfId="44" operator="equal" stopIfTrue="1">
      <formula>0</formula>
    </cfRule>
  </conditionalFormatting>
  <conditionalFormatting sqref="H204:K204 M204:P204">
    <cfRule type="cellIs" priority="13" dxfId="44" operator="equal" stopIfTrue="1">
      <formula>0</formula>
    </cfRule>
  </conditionalFormatting>
  <conditionalFormatting sqref="H206:K206 M206:P206">
    <cfRule type="cellIs" priority="12" dxfId="44" operator="equal" stopIfTrue="1">
      <formula>0</formula>
    </cfRule>
  </conditionalFormatting>
  <conditionalFormatting sqref="M246:P247 H246:K247">
    <cfRule type="cellIs" priority="5" dxfId="44" operator="equal" stopIfTrue="1">
      <formula>0</formula>
    </cfRule>
  </conditionalFormatting>
  <conditionalFormatting sqref="N66:P69">
    <cfRule type="cellIs" priority="3" dxfId="44" operator="equal" stopIfTrue="1">
      <formula>0</formula>
    </cfRule>
  </conditionalFormatting>
  <conditionalFormatting sqref="N64:P64 S64">
    <cfRule type="cellIs" priority="2" dxfId="44" operator="equal" stopIfTrue="1">
      <formula>0</formula>
    </cfRule>
  </conditionalFormatting>
  <conditionalFormatting sqref="M84:P85 H84:K85">
    <cfRule type="cellIs" priority="1" dxfId="44" operator="equal" stopIfTrue="1">
      <formula>0</formula>
    </cfRule>
  </conditionalFormatting>
  <printOptions horizontalCentered="1"/>
  <pageMargins left="0.11811023622047245" right="0.11811023622047245" top="1.5748031496062993" bottom="0.3937007874015748" header="0.5118110236220472" footer="0"/>
  <pageSetup blackAndWhite="1" fitToHeight="20" fitToWidth="1" horizontalDpi="600" verticalDpi="600" orientation="landscape" paperSize="9" scale="47" r:id="rId1"/>
  <headerFooter differentFirst="1" alignWithMargins="0">
    <oddFooter>&amp;C&amp;P</oddFooter>
  </headerFooter>
  <rowBreaks count="1" manualBreakCount="1">
    <brk id="447" min="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2020-12-21T12:26:47Z</cp:lastPrinted>
  <dcterms:created xsi:type="dcterms:W3CDTF">2002-12-16T07:25:53Z</dcterms:created>
  <dcterms:modified xsi:type="dcterms:W3CDTF">2020-12-21T12:43:56Z</dcterms:modified>
  <cp:category/>
  <cp:version/>
  <cp:contentType/>
  <cp:contentStatus/>
</cp:coreProperties>
</file>